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eaGenerale\(TRASPARENZA) E PRIVACY\7_PAGAMENTI\Elenco mandati 2023\"/>
    </mc:Choice>
  </mc:AlternateContent>
  <xr:revisionPtr revIDLastSave="0" documentId="13_ncr:1_{12040567-D641-4251-B569-BCD2FAB7B2BE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MAND28062023224229" sheetId="1" r:id="rId1"/>
  </sheets>
  <calcPr calcId="0"/>
</workbook>
</file>

<file path=xl/calcChain.xml><?xml version="1.0" encoding="utf-8"?>
<calcChain xmlns="http://schemas.openxmlformats.org/spreadsheetml/2006/main">
  <c r="S3" i="1" l="1"/>
  <c r="AB3" i="1"/>
  <c r="AH3" i="1"/>
  <c r="AI3" i="1"/>
  <c r="S4" i="1"/>
  <c r="AB4" i="1"/>
  <c r="AI4" i="1"/>
  <c r="S5" i="1"/>
  <c r="AB5" i="1"/>
  <c r="AI5" i="1"/>
  <c r="S6" i="1"/>
  <c r="AB6" i="1"/>
  <c r="AI6" i="1"/>
  <c r="S7" i="1"/>
  <c r="AB7" i="1"/>
  <c r="AI7" i="1"/>
  <c r="AI8" i="1"/>
  <c r="AI9" i="1"/>
  <c r="S10" i="1"/>
  <c r="AI10" i="1"/>
  <c r="S11" i="1"/>
  <c r="AI11" i="1"/>
  <c r="S12" i="1"/>
  <c r="AI12" i="1"/>
  <c r="S13" i="1"/>
  <c r="AI13" i="1"/>
  <c r="S14" i="1"/>
  <c r="AB14" i="1"/>
  <c r="AI14" i="1"/>
  <c r="S15" i="1"/>
  <c r="AB15" i="1"/>
  <c r="AI15" i="1"/>
  <c r="S16" i="1"/>
  <c r="S17" i="1"/>
  <c r="S18" i="1"/>
  <c r="AB18" i="1"/>
  <c r="S19" i="1"/>
  <c r="AB19" i="1"/>
  <c r="S20" i="1"/>
  <c r="AB20" i="1"/>
  <c r="S21" i="1"/>
  <c r="AB21" i="1"/>
  <c r="AB22" i="1"/>
  <c r="S23" i="1"/>
  <c r="S24" i="1"/>
  <c r="AB24" i="1"/>
  <c r="AH24" i="1"/>
  <c r="AI24" i="1"/>
  <c r="AM24" i="1"/>
  <c r="S25" i="1"/>
  <c r="AB25" i="1"/>
  <c r="AH25" i="1"/>
  <c r="AI25" i="1"/>
  <c r="AM25" i="1"/>
  <c r="AB26" i="1"/>
  <c r="AH26" i="1"/>
  <c r="AI26" i="1"/>
  <c r="AM26" i="1"/>
  <c r="S27" i="1"/>
  <c r="AB27" i="1"/>
  <c r="AH27" i="1"/>
  <c r="AI27" i="1"/>
  <c r="AM27" i="1"/>
  <c r="S28" i="1"/>
  <c r="AB28" i="1"/>
  <c r="AH28" i="1"/>
  <c r="AI28" i="1"/>
  <c r="AM28" i="1"/>
  <c r="S29" i="1"/>
  <c r="AB29" i="1"/>
  <c r="AH29" i="1"/>
  <c r="AI29" i="1"/>
  <c r="AM29" i="1"/>
  <c r="S30" i="1"/>
  <c r="AB30" i="1"/>
  <c r="AH30" i="1"/>
  <c r="AI30" i="1"/>
  <c r="AM30" i="1"/>
  <c r="S31" i="1"/>
  <c r="AB31" i="1"/>
  <c r="AH31" i="1"/>
  <c r="AM31" i="1"/>
  <c r="AB32" i="1"/>
  <c r="AH32" i="1"/>
  <c r="AI32" i="1"/>
  <c r="AM32" i="1"/>
  <c r="S33" i="1"/>
  <c r="AB33" i="1"/>
  <c r="AH33" i="1"/>
  <c r="S34" i="1"/>
  <c r="AB34" i="1"/>
  <c r="AH34" i="1"/>
  <c r="S35" i="1"/>
  <c r="AB35" i="1"/>
  <c r="AH35" i="1"/>
  <c r="S36" i="1"/>
  <c r="AB36" i="1"/>
  <c r="AH36" i="1"/>
  <c r="AM36" i="1"/>
  <c r="S37" i="1"/>
  <c r="AB37" i="1"/>
  <c r="AH37" i="1"/>
  <c r="AM37" i="1"/>
  <c r="S38" i="1"/>
  <c r="AB38" i="1"/>
  <c r="AH38" i="1"/>
  <c r="AM38" i="1"/>
  <c r="S39" i="1"/>
  <c r="AB39" i="1"/>
  <c r="AH39" i="1"/>
  <c r="AI39" i="1"/>
  <c r="AM39" i="1"/>
  <c r="S40" i="1"/>
  <c r="AB40" i="1"/>
  <c r="AH40" i="1"/>
  <c r="AI40" i="1"/>
  <c r="AM40" i="1"/>
  <c r="S41" i="1"/>
  <c r="AB41" i="1"/>
  <c r="AH41" i="1"/>
  <c r="AI41" i="1"/>
  <c r="AM41" i="1"/>
  <c r="S42" i="1"/>
  <c r="AB42" i="1"/>
  <c r="AH42" i="1"/>
  <c r="AI42" i="1"/>
  <c r="AM42" i="1"/>
  <c r="S43" i="1"/>
  <c r="AB43" i="1"/>
  <c r="AH43" i="1"/>
  <c r="AI43" i="1"/>
  <c r="AM43" i="1"/>
  <c r="S44" i="1"/>
  <c r="AB44" i="1"/>
  <c r="AH44" i="1"/>
  <c r="AI44" i="1"/>
  <c r="AM44" i="1"/>
  <c r="S45" i="1"/>
  <c r="AB45" i="1"/>
  <c r="AH45" i="1"/>
  <c r="AI45" i="1"/>
  <c r="AM45" i="1"/>
  <c r="S46" i="1"/>
  <c r="AB46" i="1"/>
  <c r="AH46" i="1"/>
  <c r="AI46" i="1"/>
  <c r="AM46" i="1"/>
  <c r="S47" i="1"/>
  <c r="AB47" i="1"/>
  <c r="AH47" i="1"/>
  <c r="AI47" i="1"/>
  <c r="AM47" i="1"/>
  <c r="S48" i="1"/>
  <c r="AB48" i="1"/>
  <c r="AH48" i="1"/>
  <c r="AI48" i="1"/>
  <c r="AM48" i="1"/>
  <c r="S49" i="1"/>
  <c r="AB49" i="1"/>
  <c r="AH49" i="1"/>
  <c r="AI49" i="1"/>
  <c r="AM49" i="1"/>
  <c r="S50" i="1"/>
  <c r="AB50" i="1"/>
  <c r="AH50" i="1"/>
  <c r="AI50" i="1"/>
  <c r="AM50" i="1"/>
  <c r="S51" i="1"/>
  <c r="AB51" i="1"/>
  <c r="AH51" i="1"/>
  <c r="AI51" i="1"/>
  <c r="AM51" i="1"/>
  <c r="S52" i="1"/>
  <c r="AB52" i="1"/>
  <c r="AH52" i="1"/>
  <c r="AI52" i="1"/>
  <c r="AM52" i="1"/>
  <c r="S53" i="1"/>
  <c r="AB53" i="1"/>
  <c r="AH53" i="1"/>
  <c r="AI53" i="1"/>
  <c r="AM53" i="1"/>
  <c r="S54" i="1"/>
  <c r="AB54" i="1"/>
  <c r="AH54" i="1"/>
  <c r="AI54" i="1"/>
  <c r="AM54" i="1"/>
  <c r="S55" i="1"/>
  <c r="AB55" i="1"/>
  <c r="AH55" i="1"/>
  <c r="AI55" i="1"/>
  <c r="AM55" i="1"/>
  <c r="S56" i="1"/>
  <c r="AB56" i="1"/>
  <c r="AH56" i="1"/>
  <c r="AI56" i="1"/>
  <c r="AM56" i="1"/>
  <c r="S57" i="1"/>
  <c r="AB57" i="1"/>
  <c r="AH57" i="1"/>
  <c r="AI57" i="1"/>
  <c r="AM57" i="1"/>
  <c r="S58" i="1"/>
  <c r="AB58" i="1"/>
  <c r="AH58" i="1"/>
  <c r="AI58" i="1"/>
  <c r="AM58" i="1"/>
  <c r="S59" i="1"/>
  <c r="AB59" i="1"/>
  <c r="AH59" i="1"/>
  <c r="AI59" i="1"/>
  <c r="AM59" i="1"/>
  <c r="S60" i="1"/>
  <c r="AB60" i="1"/>
  <c r="AH60" i="1"/>
  <c r="AI60" i="1"/>
  <c r="AM60" i="1"/>
  <c r="S61" i="1"/>
  <c r="AB61" i="1"/>
  <c r="AH61" i="1"/>
  <c r="AI61" i="1"/>
  <c r="AM61" i="1"/>
  <c r="S62" i="1"/>
  <c r="AB62" i="1"/>
  <c r="AH62" i="1"/>
  <c r="AI62" i="1"/>
  <c r="AM62" i="1"/>
  <c r="S63" i="1"/>
  <c r="AB63" i="1"/>
  <c r="AH63" i="1"/>
  <c r="AI63" i="1"/>
  <c r="AM63" i="1"/>
  <c r="S64" i="1"/>
  <c r="AB64" i="1"/>
  <c r="AH64" i="1"/>
  <c r="AI64" i="1"/>
  <c r="AM64" i="1"/>
  <c r="S65" i="1"/>
  <c r="AB65" i="1"/>
  <c r="AH65" i="1"/>
  <c r="AI65" i="1"/>
  <c r="AM65" i="1"/>
  <c r="S66" i="1"/>
  <c r="AB66" i="1"/>
  <c r="AH66" i="1"/>
  <c r="AI66" i="1"/>
  <c r="AM66" i="1"/>
  <c r="S67" i="1"/>
  <c r="AB67" i="1"/>
  <c r="AH67" i="1"/>
  <c r="AI67" i="1"/>
  <c r="AM67" i="1"/>
  <c r="S68" i="1"/>
  <c r="AB68" i="1"/>
  <c r="AH68" i="1"/>
  <c r="AI68" i="1"/>
  <c r="AM68" i="1"/>
  <c r="S69" i="1"/>
  <c r="AB69" i="1"/>
  <c r="AH69" i="1"/>
  <c r="AI69" i="1"/>
  <c r="AM69" i="1"/>
  <c r="S70" i="1"/>
  <c r="AB70" i="1"/>
  <c r="AH70" i="1"/>
  <c r="AI70" i="1"/>
  <c r="AM70" i="1"/>
  <c r="S71" i="1"/>
  <c r="AB71" i="1"/>
  <c r="AH71" i="1"/>
  <c r="AI71" i="1"/>
  <c r="AM71" i="1"/>
  <c r="S72" i="1"/>
  <c r="AB72" i="1"/>
  <c r="AH72" i="1"/>
  <c r="AI72" i="1"/>
  <c r="AM72" i="1"/>
  <c r="S73" i="1"/>
  <c r="AB73" i="1"/>
  <c r="AH73" i="1"/>
  <c r="AI73" i="1"/>
  <c r="AM73" i="1"/>
  <c r="S74" i="1"/>
  <c r="AB74" i="1"/>
  <c r="AH74" i="1"/>
  <c r="AI74" i="1"/>
  <c r="AM74" i="1"/>
  <c r="S75" i="1"/>
  <c r="AB75" i="1"/>
  <c r="AH75" i="1"/>
  <c r="AI75" i="1"/>
  <c r="AM75" i="1"/>
  <c r="S76" i="1"/>
  <c r="AB76" i="1"/>
  <c r="AH76" i="1"/>
  <c r="AI76" i="1"/>
  <c r="AM76" i="1"/>
  <c r="S77" i="1"/>
  <c r="AB77" i="1"/>
  <c r="AH77" i="1"/>
  <c r="AI77" i="1"/>
  <c r="AM77" i="1"/>
  <c r="S78" i="1"/>
  <c r="AB78" i="1"/>
  <c r="AH78" i="1"/>
  <c r="AI78" i="1"/>
  <c r="AM78" i="1"/>
  <c r="S79" i="1"/>
  <c r="AB79" i="1"/>
  <c r="AH79" i="1"/>
  <c r="AI79" i="1"/>
  <c r="AM79" i="1"/>
  <c r="S80" i="1"/>
  <c r="AB80" i="1"/>
  <c r="AH80" i="1"/>
  <c r="AI80" i="1"/>
  <c r="AM80" i="1"/>
  <c r="S81" i="1"/>
  <c r="AB81" i="1"/>
  <c r="AH81" i="1"/>
  <c r="AI81" i="1"/>
  <c r="AM81" i="1"/>
  <c r="S82" i="1"/>
  <c r="AB82" i="1"/>
  <c r="AH82" i="1"/>
  <c r="AI82" i="1"/>
  <c r="AM82" i="1"/>
  <c r="S83" i="1"/>
  <c r="AB83" i="1"/>
  <c r="AH83" i="1"/>
  <c r="AI83" i="1"/>
  <c r="AM83" i="1"/>
  <c r="S84" i="1"/>
  <c r="AB84" i="1"/>
  <c r="AH84" i="1"/>
  <c r="AI84" i="1"/>
  <c r="AM84" i="1"/>
  <c r="S85" i="1"/>
  <c r="AB85" i="1"/>
  <c r="AH85" i="1"/>
  <c r="AI85" i="1"/>
  <c r="AM85" i="1"/>
  <c r="S86" i="1"/>
  <c r="AB86" i="1"/>
  <c r="AH86" i="1"/>
  <c r="AI86" i="1"/>
  <c r="AM86" i="1"/>
  <c r="S87" i="1"/>
  <c r="AB87" i="1"/>
  <c r="AH87" i="1"/>
  <c r="AI87" i="1"/>
  <c r="AM87" i="1"/>
  <c r="S88" i="1"/>
  <c r="AB88" i="1"/>
  <c r="AH88" i="1"/>
  <c r="AI88" i="1"/>
  <c r="AM88" i="1"/>
  <c r="S89" i="1"/>
  <c r="AB89" i="1"/>
  <c r="AH89" i="1"/>
  <c r="AI89" i="1"/>
  <c r="AM89" i="1"/>
  <c r="S90" i="1"/>
  <c r="AB90" i="1"/>
  <c r="AH90" i="1"/>
  <c r="AI90" i="1"/>
  <c r="AM90" i="1"/>
  <c r="S91" i="1"/>
  <c r="AB91" i="1"/>
  <c r="AH91" i="1"/>
  <c r="AI91" i="1"/>
  <c r="AM91" i="1"/>
  <c r="S92" i="1"/>
  <c r="AB92" i="1"/>
  <c r="AH92" i="1"/>
  <c r="AI92" i="1"/>
  <c r="AM92" i="1"/>
  <c r="S93" i="1"/>
  <c r="AB93" i="1"/>
  <c r="AH93" i="1"/>
  <c r="AI93" i="1"/>
  <c r="AM93" i="1"/>
  <c r="S94" i="1"/>
  <c r="AB94" i="1"/>
  <c r="AH94" i="1"/>
  <c r="AI94" i="1"/>
  <c r="AM94" i="1"/>
  <c r="S95" i="1"/>
  <c r="AB95" i="1"/>
  <c r="AH95" i="1"/>
  <c r="AI95" i="1"/>
  <c r="AM95" i="1"/>
  <c r="S96" i="1"/>
  <c r="AB96" i="1"/>
  <c r="AH96" i="1"/>
  <c r="AI96" i="1"/>
  <c r="AM96" i="1"/>
  <c r="S97" i="1"/>
  <c r="AB97" i="1"/>
  <c r="AH97" i="1"/>
  <c r="AI97" i="1"/>
  <c r="AM97" i="1"/>
  <c r="S98" i="1"/>
  <c r="AB98" i="1"/>
  <c r="AH98" i="1"/>
  <c r="AI98" i="1"/>
  <c r="AM98" i="1"/>
  <c r="S99" i="1"/>
  <c r="AB99" i="1"/>
  <c r="AH99" i="1"/>
  <c r="AI99" i="1"/>
  <c r="AM99" i="1"/>
  <c r="S100" i="1"/>
  <c r="AB100" i="1"/>
  <c r="AH100" i="1"/>
  <c r="AI100" i="1"/>
  <c r="AM100" i="1"/>
  <c r="S101" i="1"/>
  <c r="AB101" i="1"/>
  <c r="AH101" i="1"/>
  <c r="AI101" i="1"/>
  <c r="AM101" i="1"/>
  <c r="S102" i="1"/>
  <c r="AB102" i="1"/>
  <c r="AH102" i="1"/>
  <c r="AI102" i="1"/>
  <c r="AM102" i="1"/>
  <c r="S103" i="1"/>
  <c r="AB103" i="1"/>
  <c r="AH103" i="1"/>
  <c r="AI103" i="1"/>
  <c r="AM103" i="1"/>
  <c r="S104" i="1"/>
  <c r="AB104" i="1"/>
  <c r="AH104" i="1"/>
  <c r="AI104" i="1"/>
  <c r="AM104" i="1"/>
  <c r="S105" i="1"/>
  <c r="AB105" i="1"/>
  <c r="AH105" i="1"/>
  <c r="AI105" i="1"/>
  <c r="AM105" i="1"/>
  <c r="S106" i="1"/>
  <c r="AB106" i="1"/>
  <c r="AH106" i="1"/>
  <c r="AI106" i="1"/>
  <c r="AM106" i="1"/>
  <c r="S107" i="1"/>
  <c r="AB107" i="1"/>
  <c r="AH107" i="1"/>
  <c r="AI107" i="1"/>
  <c r="AM107" i="1"/>
  <c r="S108" i="1"/>
  <c r="AB108" i="1"/>
  <c r="AH108" i="1"/>
  <c r="AI108" i="1"/>
  <c r="AM108" i="1"/>
  <c r="S109" i="1"/>
  <c r="AB109" i="1"/>
  <c r="AH109" i="1"/>
  <c r="AI109" i="1"/>
  <c r="AM109" i="1"/>
  <c r="S110" i="1"/>
  <c r="AB110" i="1"/>
  <c r="AH110" i="1"/>
  <c r="AI110" i="1"/>
  <c r="AM110" i="1"/>
  <c r="S111" i="1"/>
  <c r="AB111" i="1"/>
  <c r="AH111" i="1"/>
  <c r="AI111" i="1"/>
  <c r="AM111" i="1"/>
  <c r="S112" i="1"/>
  <c r="AB112" i="1"/>
  <c r="AH112" i="1"/>
  <c r="AI112" i="1"/>
  <c r="AM112" i="1"/>
  <c r="S113" i="1"/>
  <c r="AB113" i="1"/>
  <c r="AH113" i="1"/>
  <c r="AI113" i="1"/>
  <c r="AM113" i="1"/>
  <c r="S114" i="1"/>
  <c r="AB114" i="1"/>
  <c r="AH114" i="1"/>
  <c r="AI114" i="1"/>
  <c r="AM114" i="1"/>
  <c r="S115" i="1"/>
  <c r="AB115" i="1"/>
  <c r="AH115" i="1"/>
  <c r="AI115" i="1"/>
  <c r="AM115" i="1"/>
  <c r="S116" i="1"/>
  <c r="AB116" i="1"/>
  <c r="AH116" i="1"/>
  <c r="AI116" i="1"/>
  <c r="AM116" i="1"/>
  <c r="S117" i="1"/>
  <c r="AB117" i="1"/>
  <c r="AH117" i="1"/>
  <c r="AI117" i="1"/>
  <c r="AM117" i="1"/>
  <c r="S118" i="1"/>
  <c r="AB118" i="1"/>
  <c r="AH118" i="1"/>
  <c r="AI118" i="1"/>
  <c r="AM118" i="1"/>
  <c r="S119" i="1"/>
  <c r="AB119" i="1"/>
  <c r="AH119" i="1"/>
  <c r="AI119" i="1"/>
  <c r="AM119" i="1"/>
  <c r="S120" i="1"/>
  <c r="AB120" i="1"/>
  <c r="AH120" i="1"/>
  <c r="AI120" i="1"/>
  <c r="AM120" i="1"/>
  <c r="S121" i="1"/>
  <c r="AB121" i="1"/>
  <c r="AH121" i="1"/>
  <c r="AI121" i="1"/>
  <c r="AM121" i="1"/>
  <c r="S122" i="1"/>
  <c r="AB122" i="1"/>
  <c r="AH122" i="1"/>
  <c r="AI122" i="1"/>
  <c r="AM122" i="1"/>
  <c r="S123" i="1"/>
  <c r="AB123" i="1"/>
  <c r="AH123" i="1"/>
  <c r="AI123" i="1"/>
  <c r="AM123" i="1"/>
  <c r="S124" i="1"/>
  <c r="AB124" i="1"/>
  <c r="AH124" i="1"/>
  <c r="AI124" i="1"/>
  <c r="AM124" i="1"/>
  <c r="S125" i="1"/>
  <c r="AB125" i="1"/>
  <c r="AH125" i="1"/>
  <c r="AI125" i="1"/>
  <c r="AM125" i="1"/>
  <c r="S126" i="1"/>
  <c r="AB126" i="1"/>
  <c r="AH126" i="1"/>
  <c r="AI126" i="1"/>
  <c r="AM126" i="1"/>
  <c r="S127" i="1"/>
  <c r="AB127" i="1"/>
  <c r="AH127" i="1"/>
  <c r="AI127" i="1"/>
  <c r="AM127" i="1"/>
  <c r="S128" i="1"/>
  <c r="AB128" i="1"/>
  <c r="AH128" i="1"/>
  <c r="AI128" i="1"/>
  <c r="AM128" i="1"/>
  <c r="S129" i="1"/>
  <c r="AB129" i="1"/>
  <c r="AH129" i="1"/>
  <c r="AI129" i="1"/>
  <c r="AM129" i="1"/>
  <c r="S130" i="1"/>
  <c r="AB130" i="1"/>
  <c r="AH130" i="1"/>
  <c r="AI130" i="1"/>
  <c r="AM130" i="1"/>
  <c r="S131" i="1"/>
  <c r="AB131" i="1"/>
  <c r="AH131" i="1"/>
  <c r="AI131" i="1"/>
  <c r="AM131" i="1"/>
  <c r="S132" i="1"/>
  <c r="AB132" i="1"/>
  <c r="AH132" i="1"/>
  <c r="AI132" i="1"/>
  <c r="AM132" i="1"/>
  <c r="S133" i="1"/>
  <c r="AB133" i="1"/>
  <c r="AH133" i="1"/>
  <c r="AI133" i="1"/>
  <c r="AM133" i="1"/>
  <c r="S134" i="1"/>
  <c r="AB134" i="1"/>
  <c r="AH134" i="1"/>
  <c r="AI134" i="1"/>
  <c r="AM134" i="1"/>
  <c r="S135" i="1"/>
  <c r="AB135" i="1"/>
  <c r="AH135" i="1"/>
  <c r="AI135" i="1"/>
  <c r="AM135" i="1"/>
  <c r="S136" i="1"/>
  <c r="AB136" i="1"/>
  <c r="AH136" i="1"/>
  <c r="AI136" i="1"/>
  <c r="AM136" i="1"/>
  <c r="S137" i="1"/>
  <c r="AB137" i="1"/>
  <c r="AH137" i="1"/>
  <c r="AI137" i="1"/>
  <c r="AM137" i="1"/>
  <c r="S138" i="1"/>
  <c r="AB138" i="1"/>
  <c r="AH138" i="1"/>
  <c r="AI138" i="1"/>
  <c r="AM138" i="1"/>
  <c r="S139" i="1"/>
  <c r="AB139" i="1"/>
  <c r="AH139" i="1"/>
  <c r="AI139" i="1"/>
  <c r="AM139" i="1"/>
  <c r="S140" i="1"/>
  <c r="AB140" i="1"/>
  <c r="AH140" i="1"/>
  <c r="AI140" i="1"/>
  <c r="AM140" i="1"/>
  <c r="S141" i="1"/>
  <c r="AB141" i="1"/>
  <c r="AH141" i="1"/>
  <c r="AI141" i="1"/>
  <c r="AM141" i="1"/>
  <c r="S142" i="1"/>
  <c r="AB142" i="1"/>
  <c r="AH142" i="1"/>
  <c r="AI142" i="1"/>
  <c r="AM142" i="1"/>
  <c r="S143" i="1"/>
  <c r="AB143" i="1"/>
  <c r="AH143" i="1"/>
  <c r="AI143" i="1"/>
  <c r="AM143" i="1"/>
  <c r="S144" i="1"/>
  <c r="AB144" i="1"/>
  <c r="AH144" i="1"/>
  <c r="AI144" i="1"/>
  <c r="AM144" i="1"/>
  <c r="S145" i="1"/>
  <c r="AB145" i="1"/>
  <c r="AH145" i="1"/>
  <c r="AI145" i="1"/>
  <c r="AM145" i="1"/>
  <c r="S146" i="1"/>
  <c r="AB146" i="1"/>
  <c r="AH146" i="1"/>
  <c r="AI146" i="1"/>
  <c r="AM146" i="1"/>
  <c r="S147" i="1"/>
  <c r="AB147" i="1"/>
  <c r="AH147" i="1"/>
  <c r="AI147" i="1"/>
  <c r="AM147" i="1"/>
  <c r="S148" i="1"/>
  <c r="AB148" i="1"/>
  <c r="AH148" i="1"/>
  <c r="AI148" i="1"/>
  <c r="AM148" i="1"/>
  <c r="S149" i="1"/>
  <c r="AB149" i="1"/>
  <c r="AH149" i="1"/>
  <c r="AI149" i="1"/>
  <c r="AM149" i="1"/>
  <c r="S150" i="1"/>
  <c r="AB150" i="1"/>
  <c r="AH150" i="1"/>
  <c r="AI150" i="1"/>
  <c r="AM150" i="1"/>
  <c r="S151" i="1"/>
  <c r="AB151" i="1"/>
  <c r="AH151" i="1"/>
  <c r="AI151" i="1"/>
  <c r="AM151" i="1"/>
  <c r="S152" i="1"/>
  <c r="AB152" i="1"/>
  <c r="AH152" i="1"/>
  <c r="AI152" i="1"/>
  <c r="AM152" i="1"/>
  <c r="S153" i="1"/>
  <c r="AB153" i="1"/>
  <c r="AH153" i="1"/>
  <c r="AI153" i="1"/>
  <c r="AM153" i="1"/>
  <c r="S154" i="1"/>
  <c r="AB154" i="1"/>
  <c r="AH154" i="1"/>
  <c r="AI154" i="1"/>
  <c r="AM154" i="1"/>
  <c r="S155" i="1"/>
  <c r="AB155" i="1"/>
  <c r="AH155" i="1"/>
  <c r="AI155" i="1"/>
  <c r="AM155" i="1"/>
  <c r="S156" i="1"/>
  <c r="AB156" i="1"/>
  <c r="AH156" i="1"/>
  <c r="AI156" i="1"/>
  <c r="AM156" i="1"/>
  <c r="S157" i="1"/>
  <c r="AB157" i="1"/>
  <c r="AH157" i="1"/>
  <c r="AI157" i="1"/>
  <c r="AM157" i="1"/>
  <c r="S158" i="1"/>
  <c r="AB158" i="1"/>
  <c r="AH158" i="1"/>
  <c r="AI158" i="1"/>
  <c r="AM158" i="1"/>
  <c r="S159" i="1"/>
  <c r="AB159" i="1"/>
  <c r="AH159" i="1"/>
  <c r="AI159" i="1"/>
  <c r="AM159" i="1"/>
  <c r="S160" i="1"/>
  <c r="AB160" i="1"/>
  <c r="AH160" i="1"/>
  <c r="AI160" i="1"/>
  <c r="AM160" i="1"/>
  <c r="S161" i="1"/>
  <c r="AB161" i="1"/>
  <c r="AH161" i="1"/>
  <c r="AI161" i="1"/>
  <c r="AM161" i="1"/>
  <c r="S162" i="1"/>
  <c r="AB162" i="1"/>
  <c r="AH162" i="1"/>
  <c r="AI162" i="1"/>
  <c r="AM162" i="1"/>
  <c r="S163" i="1"/>
  <c r="AB163" i="1"/>
  <c r="AH163" i="1"/>
  <c r="AI163" i="1"/>
  <c r="AM163" i="1"/>
  <c r="S164" i="1"/>
  <c r="AB164" i="1"/>
  <c r="AH164" i="1"/>
  <c r="AI164" i="1"/>
  <c r="AM164" i="1"/>
  <c r="S165" i="1"/>
  <c r="AB165" i="1"/>
  <c r="AH165" i="1"/>
  <c r="AI165" i="1"/>
  <c r="AM165" i="1"/>
  <c r="S166" i="1"/>
  <c r="AB166" i="1"/>
  <c r="AH166" i="1"/>
  <c r="AI166" i="1"/>
  <c r="AM166" i="1"/>
  <c r="S167" i="1"/>
  <c r="AB167" i="1"/>
  <c r="AH167" i="1"/>
  <c r="AI167" i="1"/>
  <c r="AM167" i="1"/>
  <c r="S168" i="1"/>
  <c r="AB168" i="1"/>
  <c r="AH168" i="1"/>
  <c r="AI168" i="1"/>
  <c r="AM168" i="1"/>
  <c r="S169" i="1"/>
  <c r="AB169" i="1"/>
  <c r="AH169" i="1"/>
  <c r="AI169" i="1"/>
  <c r="AM169" i="1"/>
  <c r="S170" i="1"/>
  <c r="AB170" i="1"/>
  <c r="AH170" i="1"/>
  <c r="AI170" i="1"/>
  <c r="AM170" i="1"/>
  <c r="S171" i="1"/>
  <c r="AB171" i="1"/>
  <c r="AH171" i="1"/>
  <c r="AI171" i="1"/>
  <c r="AM171" i="1"/>
  <c r="S172" i="1"/>
  <c r="AB172" i="1"/>
  <c r="AH172" i="1"/>
  <c r="AI172" i="1"/>
  <c r="AM172" i="1"/>
  <c r="S173" i="1"/>
  <c r="AB173" i="1"/>
  <c r="AH173" i="1"/>
  <c r="AI173" i="1"/>
  <c r="AM173" i="1"/>
  <c r="S174" i="1"/>
  <c r="AB174" i="1"/>
  <c r="AH174" i="1"/>
  <c r="AI174" i="1"/>
  <c r="AM174" i="1"/>
  <c r="S175" i="1"/>
  <c r="AB175" i="1"/>
  <c r="AH175" i="1"/>
  <c r="AI175" i="1"/>
  <c r="AM175" i="1"/>
  <c r="S176" i="1"/>
  <c r="AB176" i="1"/>
  <c r="AH176" i="1"/>
  <c r="AI176" i="1"/>
  <c r="AM176" i="1"/>
  <c r="S177" i="1"/>
  <c r="AB177" i="1"/>
  <c r="AH177" i="1"/>
  <c r="AI177" i="1"/>
  <c r="AM177" i="1"/>
  <c r="S178" i="1"/>
  <c r="AB178" i="1"/>
  <c r="AH178" i="1"/>
  <c r="AI178" i="1"/>
  <c r="AM178" i="1"/>
  <c r="S179" i="1"/>
  <c r="AB179" i="1"/>
  <c r="AH179" i="1"/>
  <c r="AI179" i="1"/>
  <c r="AM179" i="1"/>
  <c r="S180" i="1"/>
  <c r="AB180" i="1"/>
  <c r="AH180" i="1"/>
  <c r="AI180" i="1"/>
  <c r="AM180" i="1"/>
  <c r="S181" i="1"/>
  <c r="AB181" i="1"/>
  <c r="AH181" i="1"/>
  <c r="AI181" i="1"/>
  <c r="AM181" i="1"/>
  <c r="S182" i="1"/>
  <c r="AB182" i="1"/>
  <c r="AH182" i="1"/>
  <c r="AI182" i="1"/>
  <c r="AM182" i="1"/>
  <c r="S183" i="1"/>
  <c r="AB183" i="1"/>
  <c r="AH183" i="1"/>
  <c r="AI183" i="1"/>
  <c r="AM183" i="1"/>
  <c r="S184" i="1"/>
  <c r="AB184" i="1"/>
  <c r="AH184" i="1"/>
  <c r="AI184" i="1"/>
  <c r="AM184" i="1"/>
  <c r="S185" i="1"/>
  <c r="AB185" i="1"/>
  <c r="AH185" i="1"/>
  <c r="AI185" i="1"/>
  <c r="AM185" i="1"/>
  <c r="S186" i="1"/>
  <c r="AB186" i="1"/>
  <c r="AH186" i="1"/>
  <c r="AI186" i="1"/>
  <c r="AM186" i="1"/>
  <c r="S187" i="1"/>
  <c r="AB187" i="1"/>
  <c r="AH187" i="1"/>
  <c r="AI187" i="1"/>
  <c r="AM187" i="1"/>
  <c r="S188" i="1"/>
  <c r="AB188" i="1"/>
  <c r="AH188" i="1"/>
  <c r="AI188" i="1"/>
  <c r="AM188" i="1"/>
  <c r="S189" i="1"/>
  <c r="AB189" i="1"/>
  <c r="AH189" i="1"/>
  <c r="AI189" i="1"/>
  <c r="AM189" i="1"/>
  <c r="S190" i="1"/>
  <c r="AB190" i="1"/>
  <c r="AH190" i="1"/>
  <c r="AI190" i="1"/>
  <c r="AM190" i="1"/>
  <c r="S191" i="1"/>
  <c r="AB191" i="1"/>
  <c r="AH191" i="1"/>
  <c r="AI191" i="1"/>
  <c r="AM191" i="1"/>
  <c r="S192" i="1"/>
  <c r="AB192" i="1"/>
  <c r="AH192" i="1"/>
  <c r="AI192" i="1"/>
  <c r="AM192" i="1"/>
  <c r="S193" i="1"/>
  <c r="AB193" i="1"/>
  <c r="AH193" i="1"/>
  <c r="AI193" i="1"/>
  <c r="AM193" i="1"/>
  <c r="S194" i="1"/>
  <c r="AB194" i="1"/>
  <c r="AH194" i="1"/>
  <c r="AI194" i="1"/>
  <c r="AM194" i="1"/>
  <c r="S195" i="1"/>
  <c r="AB195" i="1"/>
  <c r="AH195" i="1"/>
  <c r="AI195" i="1"/>
  <c r="AM195" i="1"/>
  <c r="S196" i="1"/>
  <c r="AB196" i="1"/>
  <c r="S197" i="1"/>
  <c r="AB197" i="1"/>
  <c r="S198" i="1"/>
  <c r="S199" i="1"/>
  <c r="S200" i="1"/>
  <c r="S201" i="1"/>
  <c r="S202" i="1"/>
  <c r="S204" i="1"/>
  <c r="S205" i="1"/>
  <c r="S206" i="1"/>
  <c r="S207" i="1"/>
  <c r="S208" i="1"/>
  <c r="AB208" i="1"/>
  <c r="AH208" i="1"/>
  <c r="AI208" i="1"/>
  <c r="AM208" i="1"/>
  <c r="S209" i="1"/>
  <c r="AB209" i="1"/>
  <c r="AH209" i="1"/>
  <c r="AI209" i="1"/>
  <c r="AM209" i="1"/>
  <c r="S210" i="1"/>
  <c r="AB210" i="1"/>
  <c r="AH210" i="1"/>
  <c r="S211" i="1"/>
  <c r="AB211" i="1"/>
  <c r="AH211" i="1"/>
  <c r="AI211" i="1"/>
  <c r="AM211" i="1"/>
  <c r="S212" i="1"/>
  <c r="AH212" i="1"/>
  <c r="AI212" i="1"/>
  <c r="AM212" i="1"/>
  <c r="S213" i="1"/>
  <c r="AH213" i="1"/>
  <c r="AS213" i="1"/>
  <c r="S214" i="1"/>
  <c r="AH214" i="1"/>
  <c r="AS214" i="1"/>
  <c r="S215" i="1"/>
  <c r="AB215" i="1"/>
  <c r="AH215" i="1"/>
  <c r="AM215" i="1"/>
  <c r="AB216" i="1"/>
  <c r="AH216" i="1"/>
  <c r="AM216" i="1"/>
  <c r="S217" i="1"/>
  <c r="AB217" i="1"/>
  <c r="AH217" i="1"/>
  <c r="AM217" i="1"/>
  <c r="R218" i="1"/>
  <c r="S218" i="1"/>
  <c r="AB218" i="1"/>
  <c r="AH218" i="1"/>
  <c r="AM218" i="1"/>
  <c r="S219" i="1"/>
  <c r="AB219" i="1"/>
  <c r="AH219" i="1"/>
  <c r="AI219" i="1"/>
  <c r="AM219" i="1"/>
  <c r="S220" i="1"/>
  <c r="AB220" i="1"/>
  <c r="AH220" i="1"/>
  <c r="AM220" i="1"/>
  <c r="S221" i="1"/>
  <c r="AB221" i="1"/>
  <c r="AH221" i="1"/>
  <c r="AI221" i="1"/>
  <c r="AM221" i="1"/>
  <c r="S222" i="1"/>
  <c r="AB222" i="1"/>
  <c r="AH222" i="1"/>
  <c r="AM222" i="1"/>
  <c r="R223" i="1"/>
  <c r="S223" i="1"/>
  <c r="AB223" i="1"/>
  <c r="AH223" i="1"/>
  <c r="AM223" i="1"/>
  <c r="R224" i="1"/>
  <c r="S224" i="1"/>
  <c r="AB224" i="1"/>
  <c r="AH224" i="1"/>
  <c r="AM224" i="1"/>
  <c r="R225" i="1"/>
  <c r="S225" i="1"/>
  <c r="AB225" i="1"/>
  <c r="AH225" i="1"/>
  <c r="AM225" i="1"/>
  <c r="S226" i="1"/>
  <c r="AB226" i="1"/>
  <c r="AH226" i="1"/>
  <c r="AM226" i="1"/>
  <c r="S227" i="1"/>
  <c r="AH227" i="1"/>
  <c r="AI227" i="1"/>
  <c r="AM227" i="1"/>
  <c r="R228" i="1"/>
  <c r="S228" i="1"/>
  <c r="AB228" i="1"/>
  <c r="AH228" i="1"/>
  <c r="R229" i="1"/>
  <c r="S229" i="1"/>
  <c r="AB229" i="1"/>
  <c r="AH229" i="1"/>
  <c r="R230" i="1"/>
  <c r="S230" i="1"/>
  <c r="AB230" i="1"/>
  <c r="AH230" i="1"/>
  <c r="R231" i="1"/>
  <c r="S231" i="1"/>
  <c r="AB231" i="1"/>
  <c r="AH231" i="1"/>
  <c r="S232" i="1"/>
  <c r="AB232" i="1"/>
  <c r="AH232" i="1"/>
  <c r="R233" i="1"/>
  <c r="S233" i="1"/>
  <c r="AB233" i="1"/>
  <c r="AH233" i="1"/>
  <c r="R234" i="1"/>
  <c r="S234" i="1"/>
  <c r="AB234" i="1"/>
  <c r="AH234" i="1"/>
  <c r="R235" i="1"/>
  <c r="S235" i="1"/>
  <c r="AB235" i="1"/>
  <c r="AH235" i="1"/>
  <c r="R236" i="1"/>
  <c r="S236" i="1"/>
  <c r="AB236" i="1"/>
  <c r="AH236" i="1"/>
  <c r="S237" i="1"/>
  <c r="AB237" i="1"/>
  <c r="AH237" i="1"/>
  <c r="S238" i="1"/>
  <c r="AB238" i="1"/>
  <c r="AH238" i="1"/>
  <c r="S239" i="1"/>
  <c r="AB239" i="1"/>
  <c r="AH239" i="1"/>
  <c r="S240" i="1"/>
  <c r="AB240" i="1"/>
  <c r="AH240" i="1"/>
  <c r="AI240" i="1"/>
  <c r="AM240" i="1"/>
  <c r="S241" i="1"/>
  <c r="AB241" i="1"/>
  <c r="AH241" i="1"/>
  <c r="AI241" i="1"/>
  <c r="AM241" i="1"/>
  <c r="S242" i="1"/>
  <c r="AB242" i="1"/>
  <c r="AH242" i="1"/>
  <c r="AM242" i="1"/>
  <c r="S243" i="1"/>
  <c r="AB243" i="1"/>
  <c r="AH243" i="1"/>
  <c r="AM243" i="1"/>
  <c r="S244" i="1"/>
  <c r="AB244" i="1"/>
  <c r="AH244" i="1"/>
  <c r="AM244" i="1"/>
  <c r="S245" i="1"/>
  <c r="AB245" i="1"/>
  <c r="AH245" i="1"/>
  <c r="AM245" i="1"/>
  <c r="S246" i="1"/>
  <c r="AB246" i="1"/>
  <c r="AH246" i="1"/>
  <c r="AM246" i="1"/>
  <c r="S247" i="1"/>
  <c r="AB247" i="1"/>
  <c r="AH247" i="1"/>
  <c r="AI247" i="1"/>
  <c r="S248" i="1"/>
  <c r="AB248" i="1"/>
  <c r="AH248" i="1"/>
  <c r="AI248" i="1"/>
  <c r="S249" i="1"/>
  <c r="AB249" i="1"/>
  <c r="AH249" i="1"/>
  <c r="AI249" i="1"/>
  <c r="S250" i="1"/>
  <c r="AB250" i="1"/>
  <c r="AH250" i="1"/>
  <c r="AI250" i="1"/>
  <c r="S251" i="1"/>
  <c r="AB251" i="1"/>
  <c r="AH251" i="1"/>
  <c r="AI251" i="1"/>
  <c r="S252" i="1"/>
  <c r="AB252" i="1"/>
  <c r="AH252" i="1"/>
  <c r="AI252" i="1"/>
  <c r="S253" i="1"/>
  <c r="AB253" i="1"/>
  <c r="AH253" i="1"/>
  <c r="AI253" i="1"/>
  <c r="AM253" i="1"/>
  <c r="S254" i="1"/>
  <c r="AB254" i="1"/>
  <c r="AH254" i="1"/>
  <c r="AI254" i="1"/>
  <c r="AM254" i="1"/>
  <c r="S255" i="1"/>
  <c r="AB255" i="1"/>
  <c r="AH255" i="1"/>
  <c r="AI255" i="1"/>
  <c r="S256" i="1"/>
  <c r="AB256" i="1"/>
  <c r="AH256" i="1"/>
  <c r="AI256" i="1"/>
  <c r="S257" i="1"/>
  <c r="AB257" i="1"/>
  <c r="AH257" i="1"/>
  <c r="AI257" i="1"/>
  <c r="S258" i="1"/>
  <c r="AB258" i="1"/>
  <c r="AH258" i="1"/>
  <c r="AI258" i="1"/>
  <c r="S259" i="1"/>
  <c r="AB259" i="1"/>
  <c r="AH259" i="1"/>
  <c r="AI259" i="1"/>
  <c r="S260" i="1"/>
  <c r="AB260" i="1"/>
  <c r="AH260" i="1"/>
  <c r="AI260" i="1"/>
  <c r="S261" i="1"/>
  <c r="AB261" i="1"/>
  <c r="AH261" i="1"/>
  <c r="AI261" i="1"/>
  <c r="S262" i="1"/>
  <c r="AB262" i="1"/>
  <c r="AH262" i="1"/>
  <c r="AI262" i="1"/>
  <c r="S263" i="1"/>
  <c r="AB263" i="1"/>
  <c r="AH263" i="1"/>
  <c r="AI263" i="1"/>
  <c r="S264" i="1"/>
  <c r="AB264" i="1"/>
  <c r="AH264" i="1"/>
  <c r="AI264" i="1"/>
  <c r="S265" i="1"/>
  <c r="AB265" i="1"/>
  <c r="AH265" i="1"/>
  <c r="AI265" i="1"/>
  <c r="S266" i="1"/>
  <c r="AB266" i="1"/>
  <c r="AH266" i="1"/>
  <c r="AI266" i="1"/>
  <c r="S267" i="1"/>
  <c r="AB267" i="1"/>
  <c r="AH267" i="1"/>
  <c r="AI267" i="1"/>
  <c r="S268" i="1"/>
  <c r="AB268" i="1"/>
  <c r="AH268" i="1"/>
  <c r="AI268" i="1"/>
  <c r="S269" i="1"/>
  <c r="AB269" i="1"/>
  <c r="AH269" i="1"/>
  <c r="AI269" i="1"/>
  <c r="S270" i="1"/>
  <c r="AB270" i="1"/>
  <c r="AH270" i="1"/>
  <c r="AI270" i="1"/>
  <c r="S271" i="1"/>
  <c r="AB271" i="1"/>
  <c r="AH271" i="1"/>
  <c r="AI271" i="1"/>
  <c r="S272" i="1"/>
  <c r="AB272" i="1"/>
  <c r="AH272" i="1"/>
  <c r="AI272" i="1"/>
  <c r="S273" i="1"/>
  <c r="AB273" i="1"/>
  <c r="AH273" i="1"/>
  <c r="AI273" i="1"/>
  <c r="S274" i="1"/>
  <c r="AB274" i="1"/>
  <c r="AH274" i="1"/>
  <c r="AI274" i="1"/>
  <c r="S275" i="1"/>
  <c r="AB275" i="1"/>
  <c r="AH275" i="1"/>
  <c r="AI275" i="1"/>
  <c r="S276" i="1"/>
  <c r="AB276" i="1"/>
  <c r="AH276" i="1"/>
  <c r="AI276" i="1"/>
  <c r="S277" i="1"/>
  <c r="AB277" i="1"/>
  <c r="AH277" i="1"/>
  <c r="AI277" i="1"/>
  <c r="S278" i="1"/>
  <c r="AB278" i="1"/>
  <c r="AH278" i="1"/>
  <c r="AI278" i="1"/>
  <c r="S279" i="1"/>
  <c r="AB279" i="1"/>
  <c r="AH279" i="1"/>
  <c r="AI279" i="1"/>
  <c r="S280" i="1"/>
  <c r="AB280" i="1"/>
  <c r="AH280" i="1"/>
  <c r="AI280" i="1"/>
  <c r="S281" i="1"/>
  <c r="AB281" i="1"/>
  <c r="AH281" i="1"/>
  <c r="AI281" i="1"/>
  <c r="S282" i="1"/>
  <c r="AB282" i="1"/>
  <c r="AH282" i="1"/>
  <c r="AI282" i="1"/>
  <c r="S283" i="1"/>
  <c r="AB283" i="1"/>
  <c r="AH283" i="1"/>
  <c r="AI283" i="1"/>
  <c r="S284" i="1"/>
  <c r="AB284" i="1"/>
  <c r="AH284" i="1"/>
  <c r="AI284" i="1"/>
  <c r="S285" i="1"/>
  <c r="AB285" i="1"/>
  <c r="AH285" i="1"/>
  <c r="AI285" i="1"/>
  <c r="S286" i="1"/>
  <c r="AB286" i="1"/>
  <c r="AH286" i="1"/>
  <c r="AI286" i="1"/>
  <c r="S287" i="1"/>
  <c r="AB287" i="1"/>
  <c r="AH287" i="1"/>
  <c r="AI287" i="1"/>
  <c r="S288" i="1"/>
  <c r="AB288" i="1"/>
  <c r="AH288" i="1"/>
  <c r="AI288" i="1"/>
  <c r="AM288" i="1"/>
  <c r="S289" i="1"/>
  <c r="AB289" i="1"/>
  <c r="AH289" i="1"/>
  <c r="AI289" i="1"/>
  <c r="AM289" i="1"/>
  <c r="AB290" i="1"/>
  <c r="AH290" i="1"/>
  <c r="AI290" i="1"/>
  <c r="AB291" i="1"/>
  <c r="AH291" i="1"/>
  <c r="AI291" i="1"/>
  <c r="S292" i="1"/>
  <c r="AB292" i="1"/>
  <c r="AH292" i="1"/>
  <c r="AI292" i="1"/>
  <c r="AM292" i="1"/>
  <c r="S401" i="1"/>
  <c r="AB401" i="1"/>
  <c r="AH401" i="1"/>
  <c r="AM401" i="1"/>
  <c r="S656" i="1"/>
  <c r="AB656" i="1"/>
  <c r="AH656" i="1"/>
  <c r="S781" i="1"/>
  <c r="S1055" i="1"/>
  <c r="AB1055" i="1"/>
  <c r="AH1055" i="1"/>
  <c r="AI1055" i="1"/>
  <c r="AM1055" i="1"/>
  <c r="S293" i="1"/>
  <c r="AB293" i="1"/>
  <c r="AH293" i="1"/>
  <c r="AI293" i="1"/>
  <c r="AM293" i="1"/>
  <c r="S294" i="1"/>
  <c r="AB294" i="1"/>
  <c r="AH294" i="1"/>
  <c r="AI294" i="1"/>
  <c r="AM294" i="1"/>
  <c r="S295" i="1"/>
  <c r="AB295" i="1"/>
  <c r="AH295" i="1"/>
  <c r="AI295" i="1"/>
  <c r="AM295" i="1"/>
  <c r="S296" i="1"/>
  <c r="AB296" i="1"/>
  <c r="AH296" i="1"/>
  <c r="AI296" i="1"/>
  <c r="AM296" i="1"/>
  <c r="S297" i="1"/>
  <c r="AB297" i="1"/>
  <c r="AH297" i="1"/>
  <c r="AI297" i="1"/>
  <c r="AM297" i="1"/>
  <c r="S298" i="1"/>
  <c r="AB298" i="1"/>
  <c r="AH298" i="1"/>
  <c r="AI298" i="1"/>
  <c r="S299" i="1"/>
  <c r="AB299" i="1"/>
  <c r="AH299" i="1"/>
  <c r="AI299" i="1"/>
  <c r="S300" i="1"/>
  <c r="AB300" i="1"/>
  <c r="AH300" i="1"/>
  <c r="AI300" i="1"/>
  <c r="S301" i="1"/>
  <c r="AB301" i="1"/>
  <c r="AH301" i="1"/>
  <c r="AI301" i="1"/>
  <c r="AM301" i="1"/>
  <c r="S302" i="1"/>
  <c r="AB302" i="1"/>
  <c r="AH302" i="1"/>
  <c r="AI302" i="1"/>
  <c r="AM302" i="1"/>
  <c r="S303" i="1"/>
  <c r="AB303" i="1"/>
  <c r="AH303" i="1"/>
  <c r="AI303" i="1"/>
  <c r="AM303" i="1"/>
  <c r="S304" i="1"/>
  <c r="AB304" i="1"/>
  <c r="AH304" i="1"/>
  <c r="AM304" i="1"/>
  <c r="S305" i="1"/>
  <c r="AB305" i="1"/>
  <c r="AH305" i="1"/>
  <c r="AM305" i="1"/>
  <c r="S306" i="1"/>
  <c r="AB306" i="1"/>
  <c r="AH306" i="1"/>
  <c r="AI306" i="1"/>
  <c r="S307" i="1"/>
  <c r="AB307" i="1"/>
  <c r="AH307" i="1"/>
  <c r="AI307" i="1"/>
  <c r="S308" i="1"/>
  <c r="AB308" i="1"/>
  <c r="AH308" i="1"/>
  <c r="AI308" i="1"/>
  <c r="S309" i="1"/>
  <c r="AB309" i="1"/>
  <c r="AH309" i="1"/>
  <c r="AI309" i="1"/>
  <c r="S310" i="1"/>
  <c r="AB310" i="1"/>
  <c r="AH310" i="1"/>
  <c r="AI310" i="1"/>
  <c r="S311" i="1"/>
  <c r="AB311" i="1"/>
  <c r="AH311" i="1"/>
  <c r="AI311" i="1"/>
  <c r="S312" i="1"/>
  <c r="AB312" i="1"/>
  <c r="AH312" i="1"/>
  <c r="AI312" i="1"/>
  <c r="S313" i="1"/>
  <c r="AB313" i="1"/>
  <c r="AH313" i="1"/>
  <c r="AI313" i="1"/>
  <c r="S314" i="1"/>
  <c r="AB314" i="1"/>
  <c r="AH314" i="1"/>
  <c r="AI314" i="1"/>
  <c r="S315" i="1"/>
  <c r="AB315" i="1"/>
  <c r="AH315" i="1"/>
  <c r="AI315" i="1"/>
  <c r="AM315" i="1"/>
  <c r="S316" i="1"/>
  <c r="AB316" i="1"/>
  <c r="AH316" i="1"/>
  <c r="AI316" i="1"/>
  <c r="AM316" i="1"/>
  <c r="S317" i="1"/>
  <c r="AB317" i="1"/>
  <c r="AH317" i="1"/>
  <c r="AI317" i="1"/>
  <c r="AM317" i="1"/>
  <c r="S318" i="1"/>
  <c r="AB318" i="1"/>
  <c r="AH318" i="1"/>
  <c r="AI318" i="1"/>
  <c r="AM318" i="1"/>
  <c r="AB319" i="1"/>
  <c r="AH319" i="1"/>
  <c r="AM319" i="1"/>
  <c r="S320" i="1"/>
  <c r="AB320" i="1"/>
  <c r="AH320" i="1"/>
  <c r="AM320" i="1"/>
  <c r="S321" i="1"/>
  <c r="AB321" i="1"/>
  <c r="AH321" i="1"/>
  <c r="AM321" i="1"/>
  <c r="S322" i="1"/>
  <c r="AH322" i="1"/>
  <c r="AI322" i="1"/>
  <c r="AM322" i="1"/>
  <c r="S323" i="1"/>
  <c r="AH323" i="1"/>
  <c r="S324" i="1"/>
  <c r="AH324" i="1"/>
  <c r="S325" i="1"/>
  <c r="AH325" i="1"/>
  <c r="S326" i="1"/>
  <c r="AH326" i="1"/>
  <c r="S327" i="1"/>
  <c r="AH327" i="1"/>
  <c r="S328" i="1"/>
  <c r="AH328" i="1"/>
  <c r="S329" i="1"/>
  <c r="AH329" i="1"/>
  <c r="S330" i="1"/>
  <c r="AH330" i="1"/>
  <c r="S331" i="1"/>
  <c r="AH331" i="1"/>
  <c r="S332" i="1"/>
  <c r="AH332" i="1"/>
  <c r="S333" i="1"/>
  <c r="AH333" i="1"/>
  <c r="S334" i="1"/>
  <c r="AH334" i="1"/>
  <c r="S335" i="1"/>
  <c r="AH335" i="1"/>
  <c r="S336" i="1"/>
  <c r="AH336" i="1"/>
  <c r="S337" i="1"/>
  <c r="AH337" i="1"/>
  <c r="S338" i="1"/>
  <c r="AH338" i="1"/>
  <c r="S339" i="1"/>
  <c r="AH339" i="1"/>
  <c r="S340" i="1"/>
  <c r="AH340" i="1"/>
  <c r="S341" i="1"/>
  <c r="AH341" i="1"/>
  <c r="S342" i="1"/>
  <c r="AH342" i="1"/>
  <c r="S343" i="1"/>
  <c r="AH343" i="1"/>
  <c r="S344" i="1"/>
  <c r="AH344" i="1"/>
  <c r="S345" i="1"/>
  <c r="AH345" i="1"/>
  <c r="S346" i="1"/>
  <c r="AH346" i="1"/>
  <c r="S347" i="1"/>
  <c r="AH347" i="1"/>
  <c r="S348" i="1"/>
  <c r="AH348" i="1"/>
  <c r="S349" i="1"/>
  <c r="AH349" i="1"/>
  <c r="S350" i="1"/>
  <c r="AH350" i="1"/>
  <c r="S351" i="1"/>
  <c r="AH351" i="1"/>
  <c r="S352" i="1"/>
  <c r="AH352" i="1"/>
  <c r="S353" i="1"/>
  <c r="AH353" i="1"/>
  <c r="S354" i="1"/>
  <c r="AH354" i="1"/>
  <c r="S355" i="1"/>
  <c r="AH355" i="1"/>
  <c r="S356" i="1"/>
  <c r="AH356" i="1"/>
  <c r="S357" i="1"/>
  <c r="AH357" i="1"/>
  <c r="S358" i="1"/>
  <c r="AH358" i="1"/>
  <c r="S359" i="1"/>
  <c r="AH359" i="1"/>
  <c r="S360" i="1"/>
  <c r="AH360" i="1"/>
  <c r="S361" i="1"/>
  <c r="AB361" i="1"/>
  <c r="AH361" i="1"/>
  <c r="S362" i="1"/>
  <c r="AH362" i="1"/>
  <c r="S363" i="1"/>
  <c r="AH363" i="1"/>
  <c r="S364" i="1"/>
  <c r="AB364" i="1"/>
  <c r="AH364" i="1"/>
  <c r="AM364" i="1"/>
  <c r="S365" i="1"/>
  <c r="AB365" i="1"/>
  <c r="AH365" i="1"/>
  <c r="AM365" i="1"/>
  <c r="S369" i="1"/>
  <c r="S370" i="1"/>
  <c r="AB370" i="1"/>
  <c r="S371" i="1"/>
  <c r="AB371" i="1"/>
  <c r="AH371" i="1"/>
  <c r="AM371" i="1"/>
  <c r="S372" i="1"/>
  <c r="AB372" i="1"/>
  <c r="AH372" i="1"/>
  <c r="AM372" i="1"/>
  <c r="S373" i="1"/>
  <c r="AB373" i="1"/>
  <c r="AH373" i="1"/>
  <c r="AM373" i="1"/>
  <c r="S374" i="1"/>
  <c r="AB374" i="1"/>
  <c r="AH374" i="1"/>
  <c r="AM374" i="1"/>
  <c r="S375" i="1"/>
  <c r="AB375" i="1"/>
  <c r="AH375" i="1"/>
  <c r="AM375" i="1"/>
  <c r="S376" i="1"/>
  <c r="AB376" i="1"/>
  <c r="AH376" i="1"/>
  <c r="AI376" i="1"/>
  <c r="AM376" i="1"/>
  <c r="S377" i="1"/>
  <c r="AB377" i="1"/>
  <c r="AH377" i="1"/>
  <c r="AI377" i="1"/>
  <c r="AM377" i="1"/>
  <c r="S378" i="1"/>
  <c r="AB378" i="1"/>
  <c r="AH378" i="1"/>
  <c r="AI378" i="1"/>
  <c r="AM378" i="1"/>
  <c r="S379" i="1"/>
  <c r="AB379" i="1"/>
  <c r="AH379" i="1"/>
  <c r="AI379" i="1"/>
  <c r="AM379" i="1"/>
  <c r="S380" i="1"/>
  <c r="AB380" i="1"/>
  <c r="AH380" i="1"/>
  <c r="AI380" i="1"/>
  <c r="AM380" i="1"/>
  <c r="S381" i="1"/>
  <c r="AB381" i="1"/>
  <c r="AH381" i="1"/>
  <c r="AI381" i="1"/>
  <c r="AM381" i="1"/>
  <c r="S382" i="1"/>
  <c r="AB382" i="1"/>
  <c r="AH382" i="1"/>
  <c r="AM382" i="1"/>
  <c r="S383" i="1"/>
  <c r="AB383" i="1"/>
  <c r="AH383" i="1"/>
  <c r="AM383" i="1"/>
  <c r="S384" i="1"/>
  <c r="AB384" i="1"/>
  <c r="S385" i="1"/>
  <c r="AB385" i="1"/>
  <c r="S386" i="1"/>
  <c r="AB386" i="1"/>
  <c r="AH386" i="1"/>
  <c r="S387" i="1"/>
  <c r="AB387" i="1"/>
  <c r="AH387" i="1"/>
  <c r="S388" i="1"/>
  <c r="AB388" i="1"/>
  <c r="AH388" i="1"/>
  <c r="AI388" i="1"/>
  <c r="AM388" i="1"/>
  <c r="S389" i="1"/>
  <c r="AB389" i="1"/>
  <c r="AH389" i="1"/>
  <c r="AM389" i="1"/>
  <c r="S390" i="1"/>
  <c r="AB390" i="1"/>
  <c r="AH390" i="1"/>
  <c r="AM390" i="1"/>
  <c r="S391" i="1"/>
  <c r="AB391" i="1"/>
  <c r="AH391" i="1"/>
  <c r="AM391" i="1"/>
  <c r="S392" i="1"/>
  <c r="AB392" i="1"/>
  <c r="AH392" i="1"/>
  <c r="AM392" i="1"/>
  <c r="S393" i="1"/>
  <c r="AB393" i="1"/>
  <c r="AH393" i="1"/>
  <c r="AI393" i="1"/>
  <c r="AM393" i="1"/>
  <c r="S394" i="1"/>
  <c r="AB394" i="1"/>
  <c r="AH394" i="1"/>
  <c r="AM394" i="1"/>
  <c r="S395" i="1"/>
  <c r="AB395" i="1"/>
  <c r="AH395" i="1"/>
  <c r="AM395" i="1"/>
  <c r="S396" i="1"/>
  <c r="AB396" i="1"/>
  <c r="AH396" i="1"/>
  <c r="AM396" i="1"/>
  <c r="S397" i="1"/>
  <c r="AH397" i="1"/>
  <c r="AI397" i="1"/>
  <c r="AM397" i="1"/>
  <c r="S398" i="1"/>
  <c r="AB398" i="1"/>
  <c r="AH398" i="1"/>
  <c r="AI398" i="1"/>
  <c r="AM398" i="1"/>
  <c r="S399" i="1"/>
  <c r="S400" i="1"/>
  <c r="S402" i="1"/>
  <c r="AB402" i="1"/>
  <c r="AH402" i="1"/>
  <c r="AM402" i="1"/>
  <c r="S403" i="1"/>
  <c r="AB403" i="1"/>
  <c r="AH403" i="1"/>
  <c r="AM403" i="1"/>
  <c r="S404" i="1"/>
  <c r="AB404" i="1"/>
  <c r="AH404" i="1"/>
  <c r="AM404" i="1"/>
  <c r="S405" i="1"/>
  <c r="AB405" i="1"/>
  <c r="AH405" i="1"/>
  <c r="AM405" i="1"/>
  <c r="S406" i="1"/>
  <c r="AB406" i="1"/>
  <c r="AH406" i="1"/>
  <c r="AI406" i="1"/>
  <c r="AM406" i="1"/>
  <c r="AB407" i="1"/>
  <c r="AH407" i="1"/>
  <c r="AM407" i="1"/>
  <c r="AB408" i="1"/>
  <c r="AH408" i="1"/>
  <c r="AM408" i="1"/>
  <c r="S409" i="1"/>
  <c r="AB409" i="1"/>
  <c r="AH409" i="1"/>
  <c r="AI409" i="1"/>
  <c r="AM409" i="1"/>
  <c r="S410" i="1"/>
  <c r="AB410" i="1"/>
  <c r="AH410" i="1"/>
  <c r="AI410" i="1"/>
  <c r="AM410" i="1"/>
  <c r="AB411" i="1"/>
  <c r="AH411" i="1"/>
  <c r="AM411" i="1"/>
  <c r="AB412" i="1"/>
  <c r="AH412" i="1"/>
  <c r="AM412" i="1"/>
  <c r="S413" i="1"/>
  <c r="AB413" i="1"/>
  <c r="AH413" i="1"/>
  <c r="AI413" i="1"/>
  <c r="AM413" i="1"/>
  <c r="S414" i="1"/>
  <c r="AB414" i="1"/>
  <c r="AH414" i="1"/>
  <c r="AI414" i="1"/>
  <c r="AM414" i="1"/>
  <c r="S415" i="1"/>
  <c r="AB415" i="1"/>
  <c r="AH415" i="1"/>
  <c r="AI415" i="1"/>
  <c r="AM415" i="1"/>
  <c r="S416" i="1"/>
  <c r="AB416" i="1"/>
  <c r="AH416" i="1"/>
  <c r="AI416" i="1"/>
  <c r="AM416" i="1"/>
  <c r="S417" i="1"/>
  <c r="AB417" i="1"/>
  <c r="AH417" i="1"/>
  <c r="AI417" i="1"/>
  <c r="AM417" i="1"/>
  <c r="S418" i="1"/>
  <c r="AB418" i="1"/>
  <c r="AH418" i="1"/>
  <c r="AI418" i="1"/>
  <c r="AM418" i="1"/>
  <c r="S419" i="1"/>
  <c r="AB419" i="1"/>
  <c r="AH419" i="1"/>
  <c r="AI419" i="1"/>
  <c r="AM419" i="1"/>
  <c r="S420" i="1"/>
  <c r="AB420" i="1"/>
  <c r="AH420" i="1"/>
  <c r="AI420" i="1"/>
  <c r="AM420" i="1"/>
  <c r="S421" i="1"/>
  <c r="AB421" i="1"/>
  <c r="AH421" i="1"/>
  <c r="AI421" i="1"/>
  <c r="AM421" i="1"/>
  <c r="S422" i="1"/>
  <c r="AB422" i="1"/>
  <c r="AH422" i="1"/>
  <c r="AI422" i="1"/>
  <c r="AM422" i="1"/>
  <c r="S423" i="1"/>
  <c r="AB423" i="1"/>
  <c r="AH423" i="1"/>
  <c r="AI423" i="1"/>
  <c r="AM423" i="1"/>
  <c r="S424" i="1"/>
  <c r="AB424" i="1"/>
  <c r="AH424" i="1"/>
  <c r="AI424" i="1"/>
  <c r="AM424" i="1"/>
  <c r="S425" i="1"/>
  <c r="AB425" i="1"/>
  <c r="AH425" i="1"/>
  <c r="AI425" i="1"/>
  <c r="AM425" i="1"/>
  <c r="S426" i="1"/>
  <c r="AB426" i="1"/>
  <c r="AH426" i="1"/>
  <c r="AI426" i="1"/>
  <c r="AM426" i="1"/>
  <c r="S427" i="1"/>
  <c r="AB427" i="1"/>
  <c r="AH427" i="1"/>
  <c r="AI427" i="1"/>
  <c r="AM427" i="1"/>
  <c r="S428" i="1"/>
  <c r="AB428" i="1"/>
  <c r="AH428" i="1"/>
  <c r="AI428" i="1"/>
  <c r="AM428" i="1"/>
  <c r="S429" i="1"/>
  <c r="AB429" i="1"/>
  <c r="AH429" i="1"/>
  <c r="AI429" i="1"/>
  <c r="AM429" i="1"/>
  <c r="S430" i="1"/>
  <c r="AB430" i="1"/>
  <c r="AH430" i="1"/>
  <c r="AI430" i="1"/>
  <c r="AM430" i="1"/>
  <c r="S431" i="1"/>
  <c r="AB431" i="1"/>
  <c r="AH431" i="1"/>
  <c r="AI431" i="1"/>
  <c r="AM431" i="1"/>
  <c r="S432" i="1"/>
  <c r="AB432" i="1"/>
  <c r="AH432" i="1"/>
  <c r="AI432" i="1"/>
  <c r="AM432" i="1"/>
  <c r="S433" i="1"/>
  <c r="AB433" i="1"/>
  <c r="AH433" i="1"/>
  <c r="AI433" i="1"/>
  <c r="AM433" i="1"/>
  <c r="S434" i="1"/>
  <c r="AB434" i="1"/>
  <c r="AH434" i="1"/>
  <c r="AI434" i="1"/>
  <c r="AM434" i="1"/>
  <c r="S435" i="1"/>
  <c r="AB435" i="1"/>
  <c r="AH435" i="1"/>
  <c r="AI435" i="1"/>
  <c r="AM435" i="1"/>
  <c r="S436" i="1"/>
  <c r="AB436" i="1"/>
  <c r="AH436" i="1"/>
  <c r="AI436" i="1"/>
  <c r="AM436" i="1"/>
  <c r="S437" i="1"/>
  <c r="AB437" i="1"/>
  <c r="AH437" i="1"/>
  <c r="AI437" i="1"/>
  <c r="AM437" i="1"/>
  <c r="S438" i="1"/>
  <c r="AB438" i="1"/>
  <c r="AH438" i="1"/>
  <c r="AI438" i="1"/>
  <c r="AM438" i="1"/>
  <c r="S439" i="1"/>
  <c r="AB439" i="1"/>
  <c r="AH439" i="1"/>
  <c r="AI439" i="1"/>
  <c r="AM439" i="1"/>
  <c r="S440" i="1"/>
  <c r="AB440" i="1"/>
  <c r="AH440" i="1"/>
  <c r="AI440" i="1"/>
  <c r="AM440" i="1"/>
  <c r="S441" i="1"/>
  <c r="AB441" i="1"/>
  <c r="AH441" i="1"/>
  <c r="AI441" i="1"/>
  <c r="AM441" i="1"/>
  <c r="S442" i="1"/>
  <c r="AB442" i="1"/>
  <c r="AH442" i="1"/>
  <c r="AI442" i="1"/>
  <c r="AM442" i="1"/>
  <c r="S443" i="1"/>
  <c r="AB443" i="1"/>
  <c r="AH443" i="1"/>
  <c r="AI443" i="1"/>
  <c r="AM443" i="1"/>
  <c r="S444" i="1"/>
  <c r="AB444" i="1"/>
  <c r="AH444" i="1"/>
  <c r="AI444" i="1"/>
  <c r="AM444" i="1"/>
  <c r="S445" i="1"/>
  <c r="AB445" i="1"/>
  <c r="AH445" i="1"/>
  <c r="AI445" i="1"/>
  <c r="AM445" i="1"/>
  <c r="S446" i="1"/>
  <c r="AB446" i="1"/>
  <c r="AH446" i="1"/>
  <c r="AI446" i="1"/>
  <c r="AM446" i="1"/>
  <c r="S447" i="1"/>
  <c r="AB447" i="1"/>
  <c r="AH447" i="1"/>
  <c r="AI447" i="1"/>
  <c r="AM447" i="1"/>
  <c r="S448" i="1"/>
  <c r="AB448" i="1"/>
  <c r="AH448" i="1"/>
  <c r="AI448" i="1"/>
  <c r="AM448" i="1"/>
  <c r="S449" i="1"/>
  <c r="AB449" i="1"/>
  <c r="AH449" i="1"/>
  <c r="AI449" i="1"/>
  <c r="AM449" i="1"/>
  <c r="S450" i="1"/>
  <c r="AB450" i="1"/>
  <c r="AH450" i="1"/>
  <c r="AI450" i="1"/>
  <c r="AM450" i="1"/>
  <c r="S451" i="1"/>
  <c r="AB451" i="1"/>
  <c r="AH451" i="1"/>
  <c r="AI451" i="1"/>
  <c r="AM451" i="1"/>
  <c r="S452" i="1"/>
  <c r="AB452" i="1"/>
  <c r="AH452" i="1"/>
  <c r="AI452" i="1"/>
  <c r="AM452" i="1"/>
  <c r="S453" i="1"/>
  <c r="AB453" i="1"/>
  <c r="AH453" i="1"/>
  <c r="AI453" i="1"/>
  <c r="AM453" i="1"/>
  <c r="S454" i="1"/>
  <c r="AB454" i="1"/>
  <c r="AH454" i="1"/>
  <c r="AI454" i="1"/>
  <c r="AM454" i="1"/>
  <c r="S455" i="1"/>
  <c r="AB455" i="1"/>
  <c r="AH455" i="1"/>
  <c r="AI455" i="1"/>
  <c r="AM455" i="1"/>
  <c r="S456" i="1"/>
  <c r="AB456" i="1"/>
  <c r="AH456" i="1"/>
  <c r="AI456" i="1"/>
  <c r="AM456" i="1"/>
  <c r="S457" i="1"/>
  <c r="AB457" i="1"/>
  <c r="AH457" i="1"/>
  <c r="AI457" i="1"/>
  <c r="AM457" i="1"/>
  <c r="S458" i="1"/>
  <c r="AB458" i="1"/>
  <c r="AH458" i="1"/>
  <c r="AI458" i="1"/>
  <c r="AM458" i="1"/>
  <c r="S459" i="1"/>
  <c r="AB459" i="1"/>
  <c r="AH459" i="1"/>
  <c r="AI459" i="1"/>
  <c r="AM459" i="1"/>
  <c r="S460" i="1"/>
  <c r="AB460" i="1"/>
  <c r="AH460" i="1"/>
  <c r="AI460" i="1"/>
  <c r="AM460" i="1"/>
  <c r="S461" i="1"/>
  <c r="AB461" i="1"/>
  <c r="AH461" i="1"/>
  <c r="AI461" i="1"/>
  <c r="AM461" i="1"/>
  <c r="S462" i="1"/>
  <c r="AB462" i="1"/>
  <c r="AH462" i="1"/>
  <c r="AI462" i="1"/>
  <c r="AM462" i="1"/>
  <c r="S463" i="1"/>
  <c r="AB463" i="1"/>
  <c r="AH463" i="1"/>
  <c r="AI463" i="1"/>
  <c r="AM463" i="1"/>
  <c r="S464" i="1"/>
  <c r="AB464" i="1"/>
  <c r="AH464" i="1"/>
  <c r="AI464" i="1"/>
  <c r="AM464" i="1"/>
  <c r="S465" i="1"/>
  <c r="AB465" i="1"/>
  <c r="AH465" i="1"/>
  <c r="AI465" i="1"/>
  <c r="AM465" i="1"/>
  <c r="S466" i="1"/>
  <c r="AB466" i="1"/>
  <c r="AH466" i="1"/>
  <c r="AI466" i="1"/>
  <c r="AM466" i="1"/>
  <c r="S467" i="1"/>
  <c r="AB467" i="1"/>
  <c r="AH467" i="1"/>
  <c r="AI467" i="1"/>
  <c r="AM467" i="1"/>
  <c r="S468" i="1"/>
  <c r="AB468" i="1"/>
  <c r="AH468" i="1"/>
  <c r="AI468" i="1"/>
  <c r="AM468" i="1"/>
  <c r="S469" i="1"/>
  <c r="AB469" i="1"/>
  <c r="AH469" i="1"/>
  <c r="AI469" i="1"/>
  <c r="AM469" i="1"/>
  <c r="S470" i="1"/>
  <c r="AB470" i="1"/>
  <c r="AH470" i="1"/>
  <c r="AI470" i="1"/>
  <c r="AM470" i="1"/>
  <c r="S471" i="1"/>
  <c r="AB471" i="1"/>
  <c r="AH471" i="1"/>
  <c r="AI471" i="1"/>
  <c r="AM471" i="1"/>
  <c r="S472" i="1"/>
  <c r="AB472" i="1"/>
  <c r="AH472" i="1"/>
  <c r="AI472" i="1"/>
  <c r="AM472" i="1"/>
  <c r="S473" i="1"/>
  <c r="AB473" i="1"/>
  <c r="AH473" i="1"/>
  <c r="AI473" i="1"/>
  <c r="AM473" i="1"/>
  <c r="S474" i="1"/>
  <c r="AB474" i="1"/>
  <c r="AH474" i="1"/>
  <c r="AI474" i="1"/>
  <c r="AM474" i="1"/>
  <c r="S475" i="1"/>
  <c r="AB475" i="1"/>
  <c r="AH475" i="1"/>
  <c r="AI475" i="1"/>
  <c r="AM475" i="1"/>
  <c r="S476" i="1"/>
  <c r="AB476" i="1"/>
  <c r="AH476" i="1"/>
  <c r="AI476" i="1"/>
  <c r="AM476" i="1"/>
  <c r="S477" i="1"/>
  <c r="AB477" i="1"/>
  <c r="AH477" i="1"/>
  <c r="AI477" i="1"/>
  <c r="AM477" i="1"/>
  <c r="S478" i="1"/>
  <c r="AB478" i="1"/>
  <c r="AH478" i="1"/>
  <c r="AI478" i="1"/>
  <c r="AM478" i="1"/>
  <c r="S479" i="1"/>
  <c r="AB479" i="1"/>
  <c r="AH479" i="1"/>
  <c r="AI479" i="1"/>
  <c r="AM479" i="1"/>
  <c r="S480" i="1"/>
  <c r="AB480" i="1"/>
  <c r="AH480" i="1"/>
  <c r="AI480" i="1"/>
  <c r="AM480" i="1"/>
  <c r="S481" i="1"/>
  <c r="AB481" i="1"/>
  <c r="AH481" i="1"/>
  <c r="AI481" i="1"/>
  <c r="AM481" i="1"/>
  <c r="S482" i="1"/>
  <c r="AB482" i="1"/>
  <c r="AH482" i="1"/>
  <c r="AI482" i="1"/>
  <c r="AM482" i="1"/>
  <c r="S483" i="1"/>
  <c r="AB483" i="1"/>
  <c r="AH483" i="1"/>
  <c r="AI483" i="1"/>
  <c r="AM483" i="1"/>
  <c r="S484" i="1"/>
  <c r="AB484" i="1"/>
  <c r="AH484" i="1"/>
  <c r="AI484" i="1"/>
  <c r="AM484" i="1"/>
  <c r="S485" i="1"/>
  <c r="AB485" i="1"/>
  <c r="AH485" i="1"/>
  <c r="AI485" i="1"/>
  <c r="AM485" i="1"/>
  <c r="S486" i="1"/>
  <c r="AB486" i="1"/>
  <c r="AH486" i="1"/>
  <c r="AI486" i="1"/>
  <c r="AM486" i="1"/>
  <c r="S487" i="1"/>
  <c r="AB487" i="1"/>
  <c r="AH487" i="1"/>
  <c r="AI487" i="1"/>
  <c r="AM487" i="1"/>
  <c r="S488" i="1"/>
  <c r="AB488" i="1"/>
  <c r="AH488" i="1"/>
  <c r="AI488" i="1"/>
  <c r="AM488" i="1"/>
  <c r="S489" i="1"/>
  <c r="AB489" i="1"/>
  <c r="AH489" i="1"/>
  <c r="AI489" i="1"/>
  <c r="AM489" i="1"/>
  <c r="S490" i="1"/>
  <c r="AB490" i="1"/>
  <c r="AH490" i="1"/>
  <c r="AI490" i="1"/>
  <c r="AM490" i="1"/>
  <c r="S491" i="1"/>
  <c r="AB491" i="1"/>
  <c r="AH491" i="1"/>
  <c r="AI491" i="1"/>
  <c r="AM491" i="1"/>
  <c r="S492" i="1"/>
  <c r="AB492" i="1"/>
  <c r="AH492" i="1"/>
  <c r="AI492" i="1"/>
  <c r="AM492" i="1"/>
  <c r="S493" i="1"/>
  <c r="AB493" i="1"/>
  <c r="AH493" i="1"/>
  <c r="AI493" i="1"/>
  <c r="AM493" i="1"/>
  <c r="S494" i="1"/>
  <c r="AB494" i="1"/>
  <c r="AH494" i="1"/>
  <c r="AI494" i="1"/>
  <c r="AM494" i="1"/>
  <c r="S495" i="1"/>
  <c r="AB495" i="1"/>
  <c r="AH495" i="1"/>
  <c r="AI495" i="1"/>
  <c r="AM495" i="1"/>
  <c r="S496" i="1"/>
  <c r="AB496" i="1"/>
  <c r="AH496" i="1"/>
  <c r="AI496" i="1"/>
  <c r="AM496" i="1"/>
  <c r="S497" i="1"/>
  <c r="AB497" i="1"/>
  <c r="AH497" i="1"/>
  <c r="AI497" i="1"/>
  <c r="AM497" i="1"/>
  <c r="S498" i="1"/>
  <c r="AB498" i="1"/>
  <c r="AH498" i="1"/>
  <c r="AI498" i="1"/>
  <c r="AM498" i="1"/>
  <c r="S499" i="1"/>
  <c r="AB499" i="1"/>
  <c r="AH499" i="1"/>
  <c r="AI499" i="1"/>
  <c r="AM499" i="1"/>
  <c r="S500" i="1"/>
  <c r="AB500" i="1"/>
  <c r="AH500" i="1"/>
  <c r="AI500" i="1"/>
  <c r="AM500" i="1"/>
  <c r="S501" i="1"/>
  <c r="AB501" i="1"/>
  <c r="AH501" i="1"/>
  <c r="AI501" i="1"/>
  <c r="AM501" i="1"/>
  <c r="S502" i="1"/>
  <c r="AB502" i="1"/>
  <c r="AH502" i="1"/>
  <c r="AI502" i="1"/>
  <c r="AM502" i="1"/>
  <c r="S503" i="1"/>
  <c r="AB503" i="1"/>
  <c r="AH503" i="1"/>
  <c r="AI503" i="1"/>
  <c r="AM503" i="1"/>
  <c r="S504" i="1"/>
  <c r="AB504" i="1"/>
  <c r="AH504" i="1"/>
  <c r="AI504" i="1"/>
  <c r="AM504" i="1"/>
  <c r="S505" i="1"/>
  <c r="AB505" i="1"/>
  <c r="AH505" i="1"/>
  <c r="AI505" i="1"/>
  <c r="AM505" i="1"/>
  <c r="S506" i="1"/>
  <c r="AB506" i="1"/>
  <c r="AH506" i="1"/>
  <c r="AI506" i="1"/>
  <c r="AM506" i="1"/>
  <c r="S507" i="1"/>
  <c r="AB507" i="1"/>
  <c r="AH507" i="1"/>
  <c r="AI507" i="1"/>
  <c r="AM507" i="1"/>
  <c r="S508" i="1"/>
  <c r="AB508" i="1"/>
  <c r="AH508" i="1"/>
  <c r="AI508" i="1"/>
  <c r="AM508" i="1"/>
  <c r="S509" i="1"/>
  <c r="AB509" i="1"/>
  <c r="AH509" i="1"/>
  <c r="AI509" i="1"/>
  <c r="AM509" i="1"/>
  <c r="S510" i="1"/>
  <c r="AB510" i="1"/>
  <c r="AH510" i="1"/>
  <c r="AI510" i="1"/>
  <c r="AM510" i="1"/>
  <c r="S511" i="1"/>
  <c r="AB511" i="1"/>
  <c r="AH511" i="1"/>
  <c r="AI511" i="1"/>
  <c r="AM511" i="1"/>
  <c r="S512" i="1"/>
  <c r="AB512" i="1"/>
  <c r="AH512" i="1"/>
  <c r="AI512" i="1"/>
  <c r="AM512" i="1"/>
  <c r="S513" i="1"/>
  <c r="AB513" i="1"/>
  <c r="AH513" i="1"/>
  <c r="AI513" i="1"/>
  <c r="AM513" i="1"/>
  <c r="S514" i="1"/>
  <c r="AB514" i="1"/>
  <c r="AH514" i="1"/>
  <c r="AI514" i="1"/>
  <c r="AM514" i="1"/>
  <c r="S515" i="1"/>
  <c r="AB515" i="1"/>
  <c r="AH515" i="1"/>
  <c r="AI515" i="1"/>
  <c r="AM515" i="1"/>
  <c r="S516" i="1"/>
  <c r="AB516" i="1"/>
  <c r="AH516" i="1"/>
  <c r="AI516" i="1"/>
  <c r="AM516" i="1"/>
  <c r="S517" i="1"/>
  <c r="AB517" i="1"/>
  <c r="AH517" i="1"/>
  <c r="AI517" i="1"/>
  <c r="AM517" i="1"/>
  <c r="S518" i="1"/>
  <c r="AB518" i="1"/>
  <c r="AH518" i="1"/>
  <c r="AI518" i="1"/>
  <c r="AM518" i="1"/>
  <c r="S519" i="1"/>
  <c r="AB519" i="1"/>
  <c r="AH519" i="1"/>
  <c r="AI519" i="1"/>
  <c r="AM519" i="1"/>
  <c r="S520" i="1"/>
  <c r="AB520" i="1"/>
  <c r="AH520" i="1"/>
  <c r="AI520" i="1"/>
  <c r="AM520" i="1"/>
  <c r="S521" i="1"/>
  <c r="AB521" i="1"/>
  <c r="AH521" i="1"/>
  <c r="AI521" i="1"/>
  <c r="AM521" i="1"/>
  <c r="S522" i="1"/>
  <c r="AB522" i="1"/>
  <c r="AH522" i="1"/>
  <c r="AI522" i="1"/>
  <c r="AM522" i="1"/>
  <c r="S523" i="1"/>
  <c r="AB523" i="1"/>
  <c r="AH523" i="1"/>
  <c r="AI523" i="1"/>
  <c r="AM523" i="1"/>
  <c r="S524" i="1"/>
  <c r="AB524" i="1"/>
  <c r="AH524" i="1"/>
  <c r="AI524" i="1"/>
  <c r="AM524" i="1"/>
  <c r="S525" i="1"/>
  <c r="AB525" i="1"/>
  <c r="AH525" i="1"/>
  <c r="AI525" i="1"/>
  <c r="AM525" i="1"/>
  <c r="S526" i="1"/>
  <c r="AB526" i="1"/>
  <c r="AH526" i="1"/>
  <c r="AI526" i="1"/>
  <c r="AM526" i="1"/>
  <c r="S527" i="1"/>
  <c r="AB527" i="1"/>
  <c r="AH527" i="1"/>
  <c r="AI527" i="1"/>
  <c r="AM527" i="1"/>
  <c r="S528" i="1"/>
  <c r="AB528" i="1"/>
  <c r="AH528" i="1"/>
  <c r="AI528" i="1"/>
  <c r="AM528" i="1"/>
  <c r="S529" i="1"/>
  <c r="AB529" i="1"/>
  <c r="AH529" i="1"/>
  <c r="AI529" i="1"/>
  <c r="AM529" i="1"/>
  <c r="S530" i="1"/>
  <c r="AB530" i="1"/>
  <c r="AH530" i="1"/>
  <c r="AI530" i="1"/>
  <c r="AM530" i="1"/>
  <c r="S531" i="1"/>
  <c r="AB531" i="1"/>
  <c r="AH531" i="1"/>
  <c r="AI531" i="1"/>
  <c r="AM531" i="1"/>
  <c r="S532" i="1"/>
  <c r="AB532" i="1"/>
  <c r="AH532" i="1"/>
  <c r="AI532" i="1"/>
  <c r="AM532" i="1"/>
  <c r="S533" i="1"/>
  <c r="AB533" i="1"/>
  <c r="AH533" i="1"/>
  <c r="AI533" i="1"/>
  <c r="AM533" i="1"/>
  <c r="S534" i="1"/>
  <c r="AB534" i="1"/>
  <c r="AH534" i="1"/>
  <c r="AI534" i="1"/>
  <c r="AM534" i="1"/>
  <c r="S535" i="1"/>
  <c r="AB535" i="1"/>
  <c r="AH535" i="1"/>
  <c r="AI535" i="1"/>
  <c r="AM535" i="1"/>
  <c r="S536" i="1"/>
  <c r="AB536" i="1"/>
  <c r="AH536" i="1"/>
  <c r="AI536" i="1"/>
  <c r="AM536" i="1"/>
  <c r="S537" i="1"/>
  <c r="AB537" i="1"/>
  <c r="AH537" i="1"/>
  <c r="AI537" i="1"/>
  <c r="AM537" i="1"/>
  <c r="S538" i="1"/>
  <c r="AB538" i="1"/>
  <c r="AH538" i="1"/>
  <c r="AI538" i="1"/>
  <c r="AM538" i="1"/>
  <c r="S539" i="1"/>
  <c r="AB539" i="1"/>
  <c r="AH539" i="1"/>
  <c r="AI539" i="1"/>
  <c r="AM539" i="1"/>
  <c r="S540" i="1"/>
  <c r="AB540" i="1"/>
  <c r="AH540" i="1"/>
  <c r="AI540" i="1"/>
  <c r="AM540" i="1"/>
  <c r="S541" i="1"/>
  <c r="AB541" i="1"/>
  <c r="AH541" i="1"/>
  <c r="AI541" i="1"/>
  <c r="AM541" i="1"/>
  <c r="S542" i="1"/>
  <c r="AB542" i="1"/>
  <c r="AH542" i="1"/>
  <c r="AI542" i="1"/>
  <c r="AM542" i="1"/>
  <c r="S543" i="1"/>
  <c r="AB543" i="1"/>
  <c r="AH543" i="1"/>
  <c r="AI543" i="1"/>
  <c r="AM543" i="1"/>
  <c r="S544" i="1"/>
  <c r="AB544" i="1"/>
  <c r="AH544" i="1"/>
  <c r="AI544" i="1"/>
  <c r="AM544" i="1"/>
  <c r="S545" i="1"/>
  <c r="AB545" i="1"/>
  <c r="AH545" i="1"/>
  <c r="AI545" i="1"/>
  <c r="AM545" i="1"/>
  <c r="S546" i="1"/>
  <c r="AB546" i="1"/>
  <c r="AH546" i="1"/>
  <c r="AI546" i="1"/>
  <c r="AM546" i="1"/>
  <c r="S547" i="1"/>
  <c r="AB547" i="1"/>
  <c r="AH547" i="1"/>
  <c r="AI547" i="1"/>
  <c r="AM547" i="1"/>
  <c r="S548" i="1"/>
  <c r="AB548" i="1"/>
  <c r="AH548" i="1"/>
  <c r="AI548" i="1"/>
  <c r="AM548" i="1"/>
  <c r="S549" i="1"/>
  <c r="AB549" i="1"/>
  <c r="AH549" i="1"/>
  <c r="AI549" i="1"/>
  <c r="AM549" i="1"/>
  <c r="S550" i="1"/>
  <c r="AB550" i="1"/>
  <c r="AH550" i="1"/>
  <c r="AI550" i="1"/>
  <c r="AM550" i="1"/>
  <c r="S551" i="1"/>
  <c r="AB551" i="1"/>
  <c r="AH551" i="1"/>
  <c r="AI551" i="1"/>
  <c r="AM551" i="1"/>
  <c r="S552" i="1"/>
  <c r="AB552" i="1"/>
  <c r="AH552" i="1"/>
  <c r="AI552" i="1"/>
  <c r="AM552" i="1"/>
  <c r="S553" i="1"/>
  <c r="AB553" i="1"/>
  <c r="AH553" i="1"/>
  <c r="AI553" i="1"/>
  <c r="AM553" i="1"/>
  <c r="S554" i="1"/>
  <c r="AB554" i="1"/>
  <c r="AH554" i="1"/>
  <c r="AI554" i="1"/>
  <c r="AM554" i="1"/>
  <c r="S555" i="1"/>
  <c r="AB555" i="1"/>
  <c r="AH555" i="1"/>
  <c r="AI555" i="1"/>
  <c r="AM555" i="1"/>
  <c r="S556" i="1"/>
  <c r="AB556" i="1"/>
  <c r="AH556" i="1"/>
  <c r="AI556" i="1"/>
  <c r="AM556" i="1"/>
  <c r="S557" i="1"/>
  <c r="AB557" i="1"/>
  <c r="AH557" i="1"/>
  <c r="AI557" i="1"/>
  <c r="AM557" i="1"/>
  <c r="S558" i="1"/>
  <c r="AB558" i="1"/>
  <c r="AH558" i="1"/>
  <c r="AI558" i="1"/>
  <c r="AM558" i="1"/>
  <c r="S559" i="1"/>
  <c r="AB559" i="1"/>
  <c r="AH559" i="1"/>
  <c r="AI559" i="1"/>
  <c r="AM559" i="1"/>
  <c r="S560" i="1"/>
  <c r="AB560" i="1"/>
  <c r="AH560" i="1"/>
  <c r="AI560" i="1"/>
  <c r="AM560" i="1"/>
  <c r="S561" i="1"/>
  <c r="AB561" i="1"/>
  <c r="AH561" i="1"/>
  <c r="AI561" i="1"/>
  <c r="AM561" i="1"/>
  <c r="S562" i="1"/>
  <c r="AB562" i="1"/>
  <c r="AH562" i="1"/>
  <c r="AI562" i="1"/>
  <c r="AM562" i="1"/>
  <c r="S563" i="1"/>
  <c r="AB563" i="1"/>
  <c r="AH563" i="1"/>
  <c r="AI563" i="1"/>
  <c r="AM563" i="1"/>
  <c r="S564" i="1"/>
  <c r="AB564" i="1"/>
  <c r="AH564" i="1"/>
  <c r="AI564" i="1"/>
  <c r="AM564" i="1"/>
  <c r="S565" i="1"/>
  <c r="AB565" i="1"/>
  <c r="AH565" i="1"/>
  <c r="AM565" i="1"/>
  <c r="S566" i="1"/>
  <c r="AB566" i="1"/>
  <c r="AH566" i="1"/>
  <c r="AI566" i="1"/>
  <c r="AM566" i="1"/>
  <c r="S567" i="1"/>
  <c r="AB567" i="1"/>
  <c r="AH567" i="1"/>
  <c r="AI567" i="1"/>
  <c r="AM567" i="1"/>
  <c r="S568" i="1"/>
  <c r="AB568" i="1"/>
  <c r="AH568" i="1"/>
  <c r="AI568" i="1"/>
  <c r="AM568" i="1"/>
  <c r="S569" i="1"/>
  <c r="AB569" i="1"/>
  <c r="S570" i="1"/>
  <c r="AB570" i="1"/>
  <c r="S571" i="1"/>
  <c r="AB571" i="1"/>
  <c r="S572" i="1"/>
  <c r="AB572" i="1"/>
  <c r="S573" i="1"/>
  <c r="AB573" i="1"/>
  <c r="S574" i="1"/>
  <c r="AB574" i="1"/>
  <c r="S575" i="1"/>
  <c r="AB575" i="1"/>
  <c r="AB576" i="1"/>
  <c r="AH576" i="1"/>
  <c r="AI576" i="1"/>
  <c r="AM576" i="1"/>
  <c r="S577" i="1"/>
  <c r="AB577" i="1"/>
  <c r="AH577" i="1"/>
  <c r="AI577" i="1"/>
  <c r="AM577" i="1"/>
  <c r="S578" i="1"/>
  <c r="AB578" i="1"/>
  <c r="S579" i="1"/>
  <c r="AB579" i="1"/>
  <c r="S580" i="1"/>
  <c r="AB580" i="1"/>
  <c r="S581" i="1"/>
  <c r="AB581" i="1"/>
  <c r="S582" i="1"/>
  <c r="AB582" i="1"/>
  <c r="S583" i="1"/>
  <c r="AB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AH596" i="1"/>
  <c r="AM596" i="1"/>
  <c r="AS596" i="1"/>
  <c r="S597" i="1"/>
  <c r="AB597" i="1"/>
  <c r="AH597" i="1"/>
  <c r="AI597" i="1"/>
  <c r="AM597" i="1"/>
  <c r="S598" i="1"/>
  <c r="AB598" i="1"/>
  <c r="AH598" i="1"/>
  <c r="AM598" i="1"/>
  <c r="S599" i="1"/>
  <c r="AB599" i="1"/>
  <c r="AH599" i="1"/>
  <c r="AM599" i="1"/>
  <c r="S600" i="1"/>
  <c r="AB600" i="1"/>
  <c r="AH600" i="1"/>
  <c r="AM600" i="1"/>
  <c r="S601" i="1"/>
  <c r="AB601" i="1"/>
  <c r="AH601" i="1"/>
  <c r="AM601" i="1"/>
  <c r="S602" i="1"/>
  <c r="AB602" i="1"/>
  <c r="AH602" i="1"/>
  <c r="AM602" i="1"/>
  <c r="S603" i="1"/>
  <c r="AB603" i="1"/>
  <c r="AH603" i="1"/>
  <c r="AM603" i="1"/>
  <c r="S604" i="1"/>
  <c r="AB604" i="1"/>
  <c r="AH604" i="1"/>
  <c r="AM604" i="1"/>
  <c r="S605" i="1"/>
  <c r="AB605" i="1"/>
  <c r="AH605" i="1"/>
  <c r="AM605" i="1"/>
  <c r="S606" i="1"/>
  <c r="AB606" i="1"/>
  <c r="AH606" i="1"/>
  <c r="AM606" i="1"/>
  <c r="S607" i="1"/>
  <c r="AB607" i="1"/>
  <c r="AH607" i="1"/>
  <c r="AM607" i="1"/>
  <c r="S608" i="1"/>
  <c r="AB608" i="1"/>
  <c r="AH608" i="1"/>
  <c r="AM608" i="1"/>
  <c r="S609" i="1"/>
  <c r="AB609" i="1"/>
  <c r="AH609" i="1"/>
  <c r="AM609" i="1"/>
  <c r="S610" i="1"/>
  <c r="AB610" i="1"/>
  <c r="AH610" i="1"/>
  <c r="AM610" i="1"/>
  <c r="S611" i="1"/>
  <c r="AB611" i="1"/>
  <c r="AH611" i="1"/>
  <c r="AM611" i="1"/>
  <c r="S612" i="1"/>
  <c r="AB612" i="1"/>
  <c r="AH612" i="1"/>
  <c r="AM612" i="1"/>
  <c r="S613" i="1"/>
  <c r="AB613" i="1"/>
  <c r="AH613" i="1"/>
  <c r="AM613" i="1"/>
  <c r="S614" i="1"/>
  <c r="AB614" i="1"/>
  <c r="AH614" i="1"/>
  <c r="AM614" i="1"/>
  <c r="S615" i="1"/>
  <c r="AB615" i="1"/>
  <c r="AH615" i="1"/>
  <c r="AM615" i="1"/>
  <c r="S616" i="1"/>
  <c r="AB616" i="1"/>
  <c r="AH616" i="1"/>
  <c r="AI616" i="1"/>
  <c r="AM616" i="1"/>
  <c r="S617" i="1"/>
  <c r="AB617" i="1"/>
  <c r="AH617" i="1"/>
  <c r="AI617" i="1"/>
  <c r="AM617" i="1"/>
  <c r="S618" i="1"/>
  <c r="AB618" i="1"/>
  <c r="AH618" i="1"/>
  <c r="AI618" i="1"/>
  <c r="AM618" i="1"/>
  <c r="S619" i="1"/>
  <c r="AB619" i="1"/>
  <c r="AH619" i="1"/>
  <c r="AI619" i="1"/>
  <c r="AM619" i="1"/>
  <c r="S620" i="1"/>
  <c r="AB620" i="1"/>
  <c r="AH620" i="1"/>
  <c r="AI620" i="1"/>
  <c r="AM620" i="1"/>
  <c r="S621" i="1"/>
  <c r="AB621" i="1"/>
  <c r="AH621" i="1"/>
  <c r="AI621" i="1"/>
  <c r="AM621" i="1"/>
  <c r="S622" i="1"/>
  <c r="AB622" i="1"/>
  <c r="AH622" i="1"/>
  <c r="AI622" i="1"/>
  <c r="AM622" i="1"/>
  <c r="S623" i="1"/>
  <c r="AB623" i="1"/>
  <c r="AH623" i="1"/>
  <c r="AI623" i="1"/>
  <c r="AM623" i="1"/>
  <c r="S624" i="1"/>
  <c r="AB624" i="1"/>
  <c r="AH624" i="1"/>
  <c r="AI624" i="1"/>
  <c r="AM624" i="1"/>
  <c r="S625" i="1"/>
  <c r="AB625" i="1"/>
  <c r="AH625" i="1"/>
  <c r="AI625" i="1"/>
  <c r="AM625" i="1"/>
  <c r="S626" i="1"/>
  <c r="AB626" i="1"/>
  <c r="AH626" i="1"/>
  <c r="AM626" i="1"/>
  <c r="S627" i="1"/>
  <c r="AB627" i="1"/>
  <c r="AH627" i="1"/>
  <c r="AM627" i="1"/>
  <c r="S628" i="1"/>
  <c r="AB628" i="1"/>
  <c r="AH628" i="1"/>
  <c r="AI628" i="1"/>
  <c r="AM628" i="1"/>
  <c r="S629" i="1"/>
  <c r="AB629" i="1"/>
  <c r="AH629" i="1"/>
  <c r="AI629" i="1"/>
  <c r="AM629" i="1"/>
  <c r="S630" i="1"/>
  <c r="AB630" i="1"/>
  <c r="AH630" i="1"/>
  <c r="AI630" i="1"/>
  <c r="AM630" i="1"/>
  <c r="S631" i="1"/>
  <c r="AB631" i="1"/>
  <c r="AH631" i="1"/>
  <c r="AI631" i="1"/>
  <c r="AM631" i="1"/>
  <c r="S632" i="1"/>
  <c r="AB632" i="1"/>
  <c r="AH632" i="1"/>
  <c r="AI632" i="1"/>
  <c r="AM632" i="1"/>
  <c r="S633" i="1"/>
  <c r="AB633" i="1"/>
  <c r="AH633" i="1"/>
  <c r="AI633" i="1"/>
  <c r="AM633" i="1"/>
  <c r="S634" i="1"/>
  <c r="AB634" i="1"/>
  <c r="AH634" i="1"/>
  <c r="AI634" i="1"/>
  <c r="AM634" i="1"/>
  <c r="S635" i="1"/>
  <c r="AB635" i="1"/>
  <c r="AH635" i="1"/>
  <c r="AI635" i="1"/>
  <c r="AM635" i="1"/>
  <c r="S636" i="1"/>
  <c r="AB636" i="1"/>
  <c r="AH636" i="1"/>
  <c r="AI636" i="1"/>
  <c r="AM636" i="1"/>
  <c r="S637" i="1"/>
  <c r="AB637" i="1"/>
  <c r="AH637" i="1"/>
  <c r="AI637" i="1"/>
  <c r="AM637" i="1"/>
  <c r="S638" i="1"/>
  <c r="AB638" i="1"/>
  <c r="AH638" i="1"/>
  <c r="AM638" i="1"/>
  <c r="S639" i="1"/>
  <c r="AI639" i="1"/>
  <c r="S640" i="1"/>
  <c r="AI640" i="1"/>
  <c r="S641" i="1"/>
  <c r="AI641" i="1"/>
  <c r="S642" i="1"/>
  <c r="AI642" i="1"/>
  <c r="S643" i="1"/>
  <c r="AI643" i="1"/>
  <c r="S644" i="1"/>
  <c r="AI644" i="1"/>
  <c r="S645" i="1"/>
  <c r="AI645" i="1"/>
  <c r="S646" i="1"/>
  <c r="AI646" i="1"/>
  <c r="S647" i="1"/>
  <c r="AI647" i="1"/>
  <c r="S648" i="1"/>
  <c r="AB648" i="1"/>
  <c r="AI648" i="1"/>
  <c r="S649" i="1"/>
  <c r="AB649" i="1"/>
  <c r="AI649" i="1"/>
  <c r="S650" i="1"/>
  <c r="AB650" i="1"/>
  <c r="AI650" i="1"/>
  <c r="S651" i="1"/>
  <c r="AI651" i="1"/>
  <c r="AI652" i="1"/>
  <c r="S654" i="1"/>
  <c r="AB654" i="1"/>
  <c r="AH654" i="1"/>
  <c r="S655" i="1"/>
  <c r="AB655" i="1"/>
  <c r="AH655" i="1"/>
  <c r="S657" i="1"/>
  <c r="AB657" i="1"/>
  <c r="AH657" i="1"/>
  <c r="AI657" i="1"/>
  <c r="AM657" i="1"/>
  <c r="S658" i="1"/>
  <c r="AB658" i="1"/>
  <c r="AH658" i="1"/>
  <c r="AI658" i="1"/>
  <c r="AM658" i="1"/>
  <c r="S659" i="1"/>
  <c r="AB659" i="1"/>
  <c r="AH659" i="1"/>
  <c r="AI659" i="1"/>
  <c r="AM659" i="1"/>
  <c r="S660" i="1"/>
  <c r="AB660" i="1"/>
  <c r="AH660" i="1"/>
  <c r="AI660" i="1"/>
  <c r="AM660" i="1"/>
  <c r="S661" i="1"/>
  <c r="AB661" i="1"/>
  <c r="AH661" i="1"/>
  <c r="AI661" i="1"/>
  <c r="AM661" i="1"/>
  <c r="S662" i="1"/>
  <c r="AB662" i="1"/>
  <c r="AH662" i="1"/>
  <c r="AI662" i="1"/>
  <c r="AM662" i="1"/>
  <c r="S663" i="1"/>
  <c r="AB663" i="1"/>
  <c r="AH663" i="1"/>
  <c r="AI663" i="1"/>
  <c r="AM663" i="1"/>
  <c r="S664" i="1"/>
  <c r="AB664" i="1"/>
  <c r="AH664" i="1"/>
  <c r="AI664" i="1"/>
  <c r="AM664" i="1"/>
  <c r="S665" i="1"/>
  <c r="AB665" i="1"/>
  <c r="AH665" i="1"/>
  <c r="AI665" i="1"/>
  <c r="AM665" i="1"/>
  <c r="S666" i="1"/>
  <c r="AB666" i="1"/>
  <c r="AH666" i="1"/>
  <c r="AI666" i="1"/>
  <c r="AM666" i="1"/>
  <c r="S667" i="1"/>
  <c r="AB667" i="1"/>
  <c r="AH667" i="1"/>
  <c r="AI667" i="1"/>
  <c r="AM667" i="1"/>
  <c r="S668" i="1"/>
  <c r="AB668" i="1"/>
  <c r="AH668" i="1"/>
  <c r="AI668" i="1"/>
  <c r="AM668" i="1"/>
  <c r="AB669" i="1"/>
  <c r="AH669" i="1"/>
  <c r="AI669" i="1"/>
  <c r="AM669" i="1"/>
  <c r="AB670" i="1"/>
  <c r="AH670" i="1"/>
  <c r="AI670" i="1"/>
  <c r="AM670" i="1"/>
  <c r="S671" i="1"/>
  <c r="AB671" i="1"/>
  <c r="AH671" i="1"/>
  <c r="AI671" i="1"/>
  <c r="S672" i="1"/>
  <c r="AB672" i="1"/>
  <c r="AH672" i="1"/>
  <c r="AI672" i="1"/>
  <c r="S673" i="1"/>
  <c r="AB673" i="1"/>
  <c r="AH673" i="1"/>
  <c r="AI673" i="1"/>
  <c r="S674" i="1"/>
  <c r="AB674" i="1"/>
  <c r="AH674" i="1"/>
  <c r="AI674" i="1"/>
  <c r="S675" i="1"/>
  <c r="AB675" i="1"/>
  <c r="AH675" i="1"/>
  <c r="AI675" i="1"/>
  <c r="S676" i="1"/>
  <c r="AB676" i="1"/>
  <c r="AH676" i="1"/>
  <c r="AI676" i="1"/>
  <c r="S677" i="1"/>
  <c r="AB677" i="1"/>
  <c r="AH677" i="1"/>
  <c r="AI677" i="1"/>
  <c r="S678" i="1"/>
  <c r="AB678" i="1"/>
  <c r="AH678" i="1"/>
  <c r="AI678" i="1"/>
  <c r="S679" i="1"/>
  <c r="AB679" i="1"/>
  <c r="AH679" i="1"/>
  <c r="AI679" i="1"/>
  <c r="S680" i="1"/>
  <c r="AB680" i="1"/>
  <c r="AH680" i="1"/>
  <c r="AI680" i="1"/>
  <c r="S681" i="1"/>
  <c r="AB681" i="1"/>
  <c r="AH681" i="1"/>
  <c r="AI681" i="1"/>
  <c r="S682" i="1"/>
  <c r="AB682" i="1"/>
  <c r="AH682" i="1"/>
  <c r="AI682" i="1"/>
  <c r="S683" i="1"/>
  <c r="AB683" i="1"/>
  <c r="AH683" i="1"/>
  <c r="AI683" i="1"/>
  <c r="S684" i="1"/>
  <c r="AB684" i="1"/>
  <c r="AH684" i="1"/>
  <c r="AI684" i="1"/>
  <c r="S685" i="1"/>
  <c r="AB685" i="1"/>
  <c r="AH685" i="1"/>
  <c r="AI685" i="1"/>
  <c r="S686" i="1"/>
  <c r="AB686" i="1"/>
  <c r="AH686" i="1"/>
  <c r="AI686" i="1"/>
  <c r="S687" i="1"/>
  <c r="AB687" i="1"/>
  <c r="AH687" i="1"/>
  <c r="AI687" i="1"/>
  <c r="AM687" i="1"/>
  <c r="S688" i="1"/>
  <c r="AB688" i="1"/>
  <c r="AH688" i="1"/>
  <c r="AI688" i="1"/>
  <c r="AM688" i="1"/>
  <c r="S689" i="1"/>
  <c r="AB689" i="1"/>
  <c r="AH689" i="1"/>
  <c r="AI689" i="1"/>
  <c r="AM689" i="1"/>
  <c r="S690" i="1"/>
  <c r="AB690" i="1"/>
  <c r="AH690" i="1"/>
  <c r="AI690" i="1"/>
  <c r="AM690" i="1"/>
  <c r="S691" i="1"/>
  <c r="AB691" i="1"/>
  <c r="AH691" i="1"/>
  <c r="AI691" i="1"/>
  <c r="AM691" i="1"/>
  <c r="S692" i="1"/>
  <c r="AB692" i="1"/>
  <c r="AH692" i="1"/>
  <c r="AI692" i="1"/>
  <c r="AM692" i="1"/>
  <c r="AB693" i="1"/>
  <c r="AH693" i="1"/>
  <c r="AI693" i="1"/>
  <c r="AM693" i="1"/>
  <c r="AB694" i="1"/>
  <c r="AH694" i="1"/>
  <c r="AI694" i="1"/>
  <c r="AM694" i="1"/>
  <c r="S695" i="1"/>
  <c r="AB695" i="1"/>
  <c r="AH695" i="1"/>
  <c r="AM695" i="1"/>
  <c r="S696" i="1"/>
  <c r="AH696" i="1"/>
  <c r="AM696" i="1"/>
  <c r="S697" i="1"/>
  <c r="AB697" i="1"/>
  <c r="AH697" i="1"/>
  <c r="AI697" i="1"/>
  <c r="AM697" i="1"/>
  <c r="S698" i="1"/>
  <c r="AH698" i="1"/>
  <c r="AM698" i="1"/>
  <c r="AS698" i="1"/>
  <c r="S699" i="1"/>
  <c r="AH699" i="1"/>
  <c r="AI699" i="1"/>
  <c r="AM699" i="1"/>
  <c r="AS699" i="1"/>
  <c r="S700" i="1"/>
  <c r="AB700" i="1"/>
  <c r="AH700" i="1"/>
  <c r="AI700" i="1"/>
  <c r="AM700" i="1"/>
  <c r="S701" i="1"/>
  <c r="AB701" i="1"/>
  <c r="AH701" i="1"/>
  <c r="AI701" i="1"/>
  <c r="AM701" i="1"/>
  <c r="S702" i="1"/>
  <c r="AH702" i="1"/>
  <c r="AI702" i="1"/>
  <c r="AM702" i="1"/>
  <c r="AS702" i="1"/>
  <c r="S703" i="1"/>
  <c r="AB703" i="1"/>
  <c r="AH703" i="1"/>
  <c r="AM703" i="1"/>
  <c r="S704" i="1"/>
  <c r="AB704" i="1"/>
  <c r="AH704" i="1"/>
  <c r="AM704" i="1"/>
  <c r="S705" i="1"/>
  <c r="AB705" i="1"/>
  <c r="AH705" i="1"/>
  <c r="AM705" i="1"/>
  <c r="S706" i="1"/>
  <c r="AB706" i="1"/>
  <c r="AH706" i="1"/>
  <c r="AM706" i="1"/>
  <c r="S707" i="1"/>
  <c r="AB707" i="1"/>
  <c r="AH707" i="1"/>
  <c r="AM707" i="1"/>
  <c r="R708" i="1"/>
  <c r="S708" i="1"/>
  <c r="AB708" i="1"/>
  <c r="AH708" i="1"/>
  <c r="AM708" i="1"/>
  <c r="R709" i="1"/>
  <c r="S709" i="1"/>
  <c r="AB709" i="1"/>
  <c r="AH709" i="1"/>
  <c r="AM709" i="1"/>
  <c r="S710" i="1"/>
  <c r="AB710" i="1"/>
  <c r="AH710" i="1"/>
  <c r="AM710" i="1"/>
  <c r="S711" i="1"/>
  <c r="AB711" i="1"/>
  <c r="AH711" i="1"/>
  <c r="AM711" i="1"/>
  <c r="S712" i="1"/>
  <c r="AB712" i="1"/>
  <c r="AH712" i="1"/>
  <c r="AM712" i="1"/>
  <c r="S713" i="1"/>
  <c r="AB713" i="1"/>
  <c r="AH713" i="1"/>
  <c r="AM713" i="1"/>
  <c r="S714" i="1"/>
  <c r="AB714" i="1"/>
  <c r="AH714" i="1"/>
  <c r="AI714" i="1"/>
  <c r="AM714" i="1"/>
  <c r="S715" i="1"/>
  <c r="AB715" i="1"/>
  <c r="AH715" i="1"/>
  <c r="AI715" i="1"/>
  <c r="AM715" i="1"/>
  <c r="S716" i="1"/>
  <c r="AB716" i="1"/>
  <c r="AH716" i="1"/>
  <c r="AI716" i="1"/>
  <c r="AM716" i="1"/>
  <c r="S717" i="1"/>
  <c r="AB717" i="1"/>
  <c r="AH717" i="1"/>
  <c r="AI717" i="1"/>
  <c r="AM717" i="1"/>
  <c r="S718" i="1"/>
  <c r="AB718" i="1"/>
  <c r="AH718" i="1"/>
  <c r="AI718" i="1"/>
  <c r="AM718" i="1"/>
  <c r="S719" i="1"/>
  <c r="AB719" i="1"/>
  <c r="AH719" i="1"/>
  <c r="AI719" i="1"/>
  <c r="AM719" i="1"/>
  <c r="S720" i="1"/>
  <c r="AB720" i="1"/>
  <c r="AH720" i="1"/>
  <c r="AI720" i="1"/>
  <c r="AM720" i="1"/>
  <c r="S721" i="1"/>
  <c r="AB721" i="1"/>
  <c r="AH721" i="1"/>
  <c r="AM721" i="1"/>
  <c r="AB722" i="1"/>
  <c r="AH722" i="1"/>
  <c r="AM722" i="1"/>
  <c r="S723" i="1"/>
  <c r="AB723" i="1"/>
  <c r="AH723" i="1"/>
  <c r="AM723" i="1"/>
  <c r="S724" i="1"/>
  <c r="AB724" i="1"/>
  <c r="AH724" i="1"/>
  <c r="AI724" i="1"/>
  <c r="AM724" i="1"/>
  <c r="S725" i="1"/>
  <c r="AB725" i="1"/>
  <c r="AH725" i="1"/>
  <c r="AM725" i="1"/>
  <c r="S726" i="1"/>
  <c r="AB726" i="1"/>
  <c r="AH726" i="1"/>
  <c r="AM726" i="1"/>
  <c r="S727" i="1"/>
  <c r="AB727" i="1"/>
  <c r="AH727" i="1"/>
  <c r="AM727" i="1"/>
  <c r="S728" i="1"/>
  <c r="AB728" i="1"/>
  <c r="AH728" i="1"/>
  <c r="AM728" i="1"/>
  <c r="S729" i="1"/>
  <c r="AB729" i="1"/>
  <c r="AH729" i="1"/>
  <c r="AM729" i="1"/>
  <c r="S730" i="1"/>
  <c r="AH730" i="1"/>
  <c r="AS730" i="1"/>
  <c r="S731" i="1"/>
  <c r="AH731" i="1"/>
  <c r="AS731" i="1"/>
  <c r="S732" i="1"/>
  <c r="AB732" i="1"/>
  <c r="AH732" i="1"/>
  <c r="S733" i="1"/>
  <c r="AB733" i="1"/>
  <c r="AH733" i="1"/>
  <c r="S734" i="1"/>
  <c r="AB734" i="1"/>
  <c r="AH734" i="1"/>
  <c r="S735" i="1"/>
  <c r="AB735" i="1"/>
  <c r="AH735" i="1"/>
  <c r="AM735" i="1"/>
  <c r="S736" i="1"/>
  <c r="AB736" i="1"/>
  <c r="AH736" i="1"/>
  <c r="AM736" i="1"/>
  <c r="S737" i="1"/>
  <c r="AB737" i="1"/>
  <c r="AH737" i="1"/>
  <c r="AM737" i="1"/>
  <c r="S738" i="1"/>
  <c r="AB738" i="1"/>
  <c r="AH738" i="1"/>
  <c r="AM738" i="1"/>
  <c r="S739" i="1"/>
  <c r="AB739" i="1"/>
  <c r="AH739" i="1"/>
  <c r="AI739" i="1"/>
  <c r="AM739" i="1"/>
  <c r="S740" i="1"/>
  <c r="AB740" i="1"/>
  <c r="AH740" i="1"/>
  <c r="AI740" i="1"/>
  <c r="AM740" i="1"/>
  <c r="S741" i="1"/>
  <c r="AB741" i="1"/>
  <c r="AH741" i="1"/>
  <c r="AI741" i="1"/>
  <c r="AM741" i="1"/>
  <c r="S742" i="1"/>
  <c r="AB742" i="1"/>
  <c r="AH742" i="1"/>
  <c r="AM742" i="1"/>
  <c r="S743" i="1"/>
  <c r="AB743" i="1"/>
  <c r="AH743" i="1"/>
  <c r="AI743" i="1"/>
  <c r="AM743" i="1"/>
  <c r="S744" i="1"/>
  <c r="AB744" i="1"/>
  <c r="AH744" i="1"/>
  <c r="AI744" i="1"/>
  <c r="AM744" i="1"/>
  <c r="S745" i="1"/>
  <c r="AB745" i="1"/>
  <c r="AH745" i="1"/>
  <c r="AI745" i="1"/>
  <c r="AM745" i="1"/>
  <c r="S746" i="1"/>
  <c r="AB746" i="1"/>
  <c r="AH746" i="1"/>
  <c r="AM746" i="1"/>
  <c r="S747" i="1"/>
  <c r="AB747" i="1"/>
  <c r="AH747" i="1"/>
  <c r="AM747" i="1"/>
  <c r="S748" i="1"/>
  <c r="AB748" i="1"/>
  <c r="AH748" i="1"/>
  <c r="AM748" i="1"/>
  <c r="S749" i="1"/>
  <c r="AB749" i="1"/>
  <c r="AH749" i="1"/>
  <c r="AM749" i="1"/>
  <c r="S750" i="1"/>
  <c r="AB750" i="1"/>
  <c r="AH750" i="1"/>
  <c r="AM750" i="1"/>
  <c r="S751" i="1"/>
  <c r="AB751" i="1"/>
  <c r="AH751" i="1"/>
  <c r="AM751" i="1"/>
  <c r="S752" i="1"/>
  <c r="AB752" i="1"/>
  <c r="AH752" i="1"/>
  <c r="AM752" i="1"/>
  <c r="S753" i="1"/>
  <c r="AB753" i="1"/>
  <c r="AH753" i="1"/>
  <c r="AM753" i="1"/>
  <c r="S754" i="1"/>
  <c r="AB754" i="1"/>
  <c r="AH754" i="1"/>
  <c r="AM754" i="1"/>
  <c r="S755" i="1"/>
  <c r="AB755" i="1"/>
  <c r="AH755" i="1"/>
  <c r="AI755" i="1"/>
  <c r="AM755" i="1"/>
  <c r="S756" i="1"/>
  <c r="AB756" i="1"/>
  <c r="AH756" i="1"/>
  <c r="AI756" i="1"/>
  <c r="AM756" i="1"/>
  <c r="AH757" i="1"/>
  <c r="AS757" i="1"/>
  <c r="AH758" i="1"/>
  <c r="AI758" i="1"/>
  <c r="AM758" i="1"/>
  <c r="AS758" i="1"/>
  <c r="S759" i="1"/>
  <c r="AH759" i="1"/>
  <c r="AS759" i="1"/>
  <c r="S760" i="1"/>
  <c r="AH760" i="1"/>
  <c r="AI760" i="1"/>
  <c r="AM760" i="1"/>
  <c r="AS760" i="1"/>
  <c r="G761" i="1"/>
  <c r="R761" i="1"/>
  <c r="S761" i="1"/>
  <c r="AB761" i="1"/>
  <c r="AH761" i="1"/>
  <c r="AI761" i="1"/>
  <c r="AM761" i="1"/>
  <c r="G762" i="1"/>
  <c r="S762" i="1"/>
  <c r="AB762" i="1"/>
  <c r="AH762" i="1"/>
  <c r="AI762" i="1"/>
  <c r="AM762" i="1"/>
  <c r="G763" i="1"/>
  <c r="S763" i="1"/>
  <c r="AB763" i="1"/>
  <c r="AH763" i="1"/>
  <c r="AI763" i="1"/>
  <c r="AM763" i="1"/>
  <c r="S764" i="1"/>
  <c r="AB764" i="1"/>
  <c r="AH764" i="1"/>
  <c r="AM764" i="1"/>
  <c r="S765" i="1"/>
  <c r="AB765" i="1"/>
  <c r="AH765" i="1"/>
  <c r="AM765" i="1"/>
  <c r="S766" i="1"/>
  <c r="AB766" i="1"/>
  <c r="AH766" i="1"/>
  <c r="AM766" i="1"/>
  <c r="S767" i="1"/>
  <c r="AB767" i="1"/>
  <c r="AH767" i="1"/>
  <c r="AM767" i="1"/>
  <c r="S768" i="1"/>
  <c r="AB768" i="1"/>
  <c r="AH768" i="1"/>
  <c r="AM768" i="1"/>
  <c r="S769" i="1"/>
  <c r="AB769" i="1"/>
  <c r="AH769" i="1"/>
  <c r="AM769" i="1"/>
  <c r="S770" i="1"/>
  <c r="AB770" i="1"/>
  <c r="AH770" i="1"/>
  <c r="AI770" i="1"/>
  <c r="AM770" i="1"/>
  <c r="S771" i="1"/>
  <c r="AB771" i="1"/>
  <c r="AH771" i="1"/>
  <c r="AI771" i="1"/>
  <c r="AM771" i="1"/>
  <c r="S772" i="1"/>
  <c r="AB772" i="1"/>
  <c r="AH772" i="1"/>
  <c r="AI772" i="1"/>
  <c r="AM772" i="1"/>
  <c r="S773" i="1"/>
  <c r="AB773" i="1"/>
  <c r="AH773" i="1"/>
  <c r="AI773" i="1"/>
  <c r="AM773" i="1"/>
  <c r="S774" i="1"/>
  <c r="AB774" i="1"/>
  <c r="AH774" i="1"/>
  <c r="AI774" i="1"/>
  <c r="AM774" i="1"/>
  <c r="S775" i="1"/>
  <c r="AB775" i="1"/>
  <c r="AH775" i="1"/>
  <c r="AI775" i="1"/>
  <c r="AM775" i="1"/>
  <c r="S778" i="1"/>
  <c r="AB778" i="1"/>
  <c r="S779" i="1"/>
  <c r="AB779" i="1"/>
  <c r="S780" i="1"/>
  <c r="S782" i="1"/>
  <c r="AB782" i="1"/>
  <c r="AH782" i="1"/>
  <c r="S783" i="1"/>
  <c r="AB783" i="1"/>
  <c r="AH783" i="1"/>
  <c r="AI783" i="1"/>
  <c r="AM783" i="1"/>
  <c r="S784" i="1"/>
  <c r="AB784" i="1"/>
  <c r="AH784" i="1"/>
  <c r="AI784" i="1"/>
  <c r="AM784" i="1"/>
  <c r="S785" i="1"/>
  <c r="AB785" i="1"/>
  <c r="AH785" i="1"/>
  <c r="AM785" i="1"/>
  <c r="S786" i="1"/>
  <c r="AH786" i="1"/>
  <c r="S787" i="1"/>
  <c r="AH787" i="1"/>
  <c r="S788" i="1"/>
  <c r="AH788" i="1"/>
  <c r="S789" i="1"/>
  <c r="AH789" i="1"/>
  <c r="AS789" i="1"/>
  <c r="S790" i="1"/>
  <c r="AH790" i="1"/>
  <c r="S791" i="1"/>
  <c r="AH791" i="1"/>
  <c r="S792" i="1"/>
  <c r="AB792" i="1"/>
  <c r="AH792" i="1"/>
  <c r="AM792" i="1"/>
  <c r="S793" i="1"/>
  <c r="AB793" i="1"/>
  <c r="AH793" i="1"/>
  <c r="AM793" i="1"/>
  <c r="S794" i="1"/>
  <c r="AB794" i="1"/>
  <c r="AH794" i="1"/>
  <c r="AM794" i="1"/>
  <c r="S795" i="1"/>
  <c r="AB795" i="1"/>
  <c r="AH795" i="1"/>
  <c r="S796" i="1"/>
  <c r="AB796" i="1"/>
  <c r="AH796" i="1"/>
  <c r="AM796" i="1"/>
  <c r="S797" i="1"/>
  <c r="AB797" i="1"/>
  <c r="AH797" i="1"/>
  <c r="AM797" i="1"/>
  <c r="S798" i="1"/>
  <c r="AB798" i="1"/>
  <c r="AH798" i="1"/>
  <c r="AI798" i="1"/>
  <c r="AM798" i="1"/>
  <c r="S799" i="1"/>
  <c r="AB799" i="1"/>
  <c r="AH799" i="1"/>
  <c r="AI799" i="1"/>
  <c r="AM799" i="1"/>
  <c r="S800" i="1"/>
  <c r="AB800" i="1"/>
  <c r="AH800" i="1"/>
  <c r="AI800" i="1"/>
  <c r="AM800" i="1"/>
  <c r="S801" i="1"/>
  <c r="AB801" i="1"/>
  <c r="AH801" i="1"/>
  <c r="AI801" i="1"/>
  <c r="AM801" i="1"/>
  <c r="S802" i="1"/>
  <c r="AB802" i="1"/>
  <c r="AH802" i="1"/>
  <c r="AM802" i="1"/>
  <c r="S803" i="1"/>
  <c r="AB803" i="1"/>
  <c r="AH803" i="1"/>
  <c r="AM803" i="1"/>
  <c r="S804" i="1"/>
  <c r="AH804" i="1"/>
  <c r="AS804" i="1"/>
  <c r="S805" i="1"/>
  <c r="AH805" i="1"/>
  <c r="AS805" i="1"/>
  <c r="S806" i="1"/>
  <c r="AH806" i="1"/>
  <c r="AS806" i="1"/>
  <c r="S807" i="1"/>
  <c r="AI807" i="1"/>
  <c r="S808" i="1"/>
  <c r="AI808" i="1"/>
  <c r="S809" i="1"/>
  <c r="AI809" i="1"/>
  <c r="S810" i="1"/>
  <c r="AI810" i="1"/>
  <c r="S811" i="1"/>
  <c r="AI811" i="1"/>
  <c r="S812" i="1"/>
  <c r="AI812" i="1"/>
  <c r="S813" i="1"/>
  <c r="AI813" i="1"/>
  <c r="S814" i="1"/>
  <c r="AB814" i="1"/>
  <c r="AI814" i="1"/>
  <c r="S815" i="1"/>
  <c r="AB815" i="1"/>
  <c r="AI815" i="1"/>
  <c r="S816" i="1"/>
  <c r="AI816" i="1"/>
  <c r="S817" i="1"/>
  <c r="S818" i="1"/>
  <c r="AI818" i="1"/>
  <c r="S819" i="1"/>
  <c r="S820" i="1"/>
  <c r="AI820" i="1"/>
  <c r="S821" i="1"/>
  <c r="S822" i="1"/>
  <c r="AI822" i="1"/>
  <c r="S823" i="1"/>
  <c r="AI823" i="1"/>
  <c r="S824" i="1"/>
  <c r="AI824" i="1"/>
  <c r="AI825" i="1"/>
  <c r="S826" i="1"/>
  <c r="AB826" i="1"/>
  <c r="S827" i="1"/>
  <c r="AB827" i="1"/>
  <c r="S828" i="1"/>
  <c r="AB828" i="1"/>
  <c r="S829" i="1"/>
  <c r="AB829" i="1"/>
  <c r="S830" i="1"/>
  <c r="AB830" i="1"/>
  <c r="S831" i="1"/>
  <c r="AB831" i="1"/>
  <c r="S832" i="1"/>
  <c r="AB832" i="1"/>
  <c r="S833" i="1"/>
  <c r="AB833" i="1"/>
  <c r="S834" i="1"/>
  <c r="AB834" i="1"/>
  <c r="S835" i="1"/>
  <c r="AB835" i="1"/>
  <c r="S836" i="1"/>
  <c r="S837" i="1"/>
  <c r="S838" i="1"/>
  <c r="S839" i="1"/>
  <c r="S840" i="1"/>
  <c r="S841" i="1"/>
  <c r="S842" i="1"/>
  <c r="AB843" i="1"/>
  <c r="AH843" i="1"/>
  <c r="AI843" i="1"/>
  <c r="AM843" i="1"/>
  <c r="S844" i="1"/>
  <c r="AB844" i="1"/>
  <c r="AH844" i="1"/>
  <c r="AI844" i="1"/>
  <c r="AM844" i="1"/>
  <c r="S845" i="1"/>
  <c r="AB845" i="1"/>
  <c r="AH845" i="1"/>
  <c r="AI845" i="1"/>
  <c r="AM845" i="1"/>
  <c r="S846" i="1"/>
  <c r="AB846" i="1"/>
  <c r="AH846" i="1"/>
  <c r="AI846" i="1"/>
  <c r="AM846" i="1"/>
  <c r="S847" i="1"/>
  <c r="AB847" i="1"/>
  <c r="AH847" i="1"/>
  <c r="AI847" i="1"/>
  <c r="AM847" i="1"/>
  <c r="S848" i="1"/>
  <c r="AB848" i="1"/>
  <c r="AH848" i="1"/>
  <c r="AI848" i="1"/>
  <c r="AM848" i="1"/>
  <c r="S849" i="1"/>
  <c r="AB849" i="1"/>
  <c r="AH849" i="1"/>
  <c r="AI849" i="1"/>
  <c r="AM849" i="1"/>
  <c r="S850" i="1"/>
  <c r="AB850" i="1"/>
  <c r="AH850" i="1"/>
  <c r="AI850" i="1"/>
  <c r="AM850" i="1"/>
  <c r="S851" i="1"/>
  <c r="AB851" i="1"/>
  <c r="AH851" i="1"/>
  <c r="AI851" i="1"/>
  <c r="AM851" i="1"/>
  <c r="S852" i="1"/>
  <c r="AB852" i="1"/>
  <c r="AH852" i="1"/>
  <c r="AI852" i="1"/>
  <c r="AM852" i="1"/>
  <c r="S853" i="1"/>
  <c r="AB853" i="1"/>
  <c r="AH853" i="1"/>
  <c r="AI853" i="1"/>
  <c r="AM853" i="1"/>
  <c r="S854" i="1"/>
  <c r="AB854" i="1"/>
  <c r="AH854" i="1"/>
  <c r="AI854" i="1"/>
  <c r="AM854" i="1"/>
  <c r="S855" i="1"/>
  <c r="AB855" i="1"/>
  <c r="AH855" i="1"/>
  <c r="AI855" i="1"/>
  <c r="AM855" i="1"/>
  <c r="S856" i="1"/>
  <c r="AB856" i="1"/>
  <c r="AH856" i="1"/>
  <c r="AI856" i="1"/>
  <c r="AM856" i="1"/>
  <c r="S857" i="1"/>
  <c r="AB857" i="1"/>
  <c r="AH857" i="1"/>
  <c r="AI857" i="1"/>
  <c r="AM857" i="1"/>
  <c r="S858" i="1"/>
  <c r="AB858" i="1"/>
  <c r="AH858" i="1"/>
  <c r="AI858" i="1"/>
  <c r="AM858" i="1"/>
  <c r="S859" i="1"/>
  <c r="AB859" i="1"/>
  <c r="AH859" i="1"/>
  <c r="AI859" i="1"/>
  <c r="AM859" i="1"/>
  <c r="S860" i="1"/>
  <c r="AB860" i="1"/>
  <c r="AH860" i="1"/>
  <c r="AI860" i="1"/>
  <c r="AM860" i="1"/>
  <c r="S861" i="1"/>
  <c r="AB861" i="1"/>
  <c r="AH861" i="1"/>
  <c r="AI861" i="1"/>
  <c r="AM861" i="1"/>
  <c r="S862" i="1"/>
  <c r="AB862" i="1"/>
  <c r="AH862" i="1"/>
  <c r="AI862" i="1"/>
  <c r="AM862" i="1"/>
  <c r="S863" i="1"/>
  <c r="AB863" i="1"/>
  <c r="AH863" i="1"/>
  <c r="AI863" i="1"/>
  <c r="AM863" i="1"/>
  <c r="S864" i="1"/>
  <c r="AB864" i="1"/>
  <c r="AH864" i="1"/>
  <c r="AI864" i="1"/>
  <c r="AM864" i="1"/>
  <c r="S865" i="1"/>
  <c r="AB865" i="1"/>
  <c r="AH865" i="1"/>
  <c r="AI865" i="1"/>
  <c r="AM865" i="1"/>
  <c r="S866" i="1"/>
  <c r="AB866" i="1"/>
  <c r="AH866" i="1"/>
  <c r="AI866" i="1"/>
  <c r="AM866" i="1"/>
  <c r="S867" i="1"/>
  <c r="AB867" i="1"/>
  <c r="AH867" i="1"/>
  <c r="AI867" i="1"/>
  <c r="AM867" i="1"/>
  <c r="S868" i="1"/>
  <c r="AB868" i="1"/>
  <c r="AH868" i="1"/>
  <c r="AI868" i="1"/>
  <c r="AM868" i="1"/>
  <c r="S869" i="1"/>
  <c r="AB869" i="1"/>
  <c r="AH869" i="1"/>
  <c r="AI869" i="1"/>
  <c r="AM869" i="1"/>
  <c r="S870" i="1"/>
  <c r="AB870" i="1"/>
  <c r="AH870" i="1"/>
  <c r="AI870" i="1"/>
  <c r="AM870" i="1"/>
  <c r="S871" i="1"/>
  <c r="AB871" i="1"/>
  <c r="AH871" i="1"/>
  <c r="AI871" i="1"/>
  <c r="AM871" i="1"/>
  <c r="S872" i="1"/>
  <c r="AB872" i="1"/>
  <c r="AH872" i="1"/>
  <c r="AI872" i="1"/>
  <c r="AM872" i="1"/>
  <c r="S873" i="1"/>
  <c r="AB873" i="1"/>
  <c r="AH873" i="1"/>
  <c r="AI873" i="1"/>
  <c r="AM873" i="1"/>
  <c r="S874" i="1"/>
  <c r="AB874" i="1"/>
  <c r="AH874" i="1"/>
  <c r="AI874" i="1"/>
  <c r="AM874" i="1"/>
  <c r="S875" i="1"/>
  <c r="AB875" i="1"/>
  <c r="AH875" i="1"/>
  <c r="AI875" i="1"/>
  <c r="AM875" i="1"/>
  <c r="S876" i="1"/>
  <c r="AB876" i="1"/>
  <c r="AH876" i="1"/>
  <c r="AI876" i="1"/>
  <c r="AM876" i="1"/>
  <c r="S877" i="1"/>
  <c r="AB877" i="1"/>
  <c r="AH877" i="1"/>
  <c r="AI877" i="1"/>
  <c r="AM877" i="1"/>
  <c r="S878" i="1"/>
  <c r="AB878" i="1"/>
  <c r="AH878" i="1"/>
  <c r="AI878" i="1"/>
  <c r="AM878" i="1"/>
  <c r="S879" i="1"/>
  <c r="AB879" i="1"/>
  <c r="AH879" i="1"/>
  <c r="AI879" i="1"/>
  <c r="AM879" i="1"/>
  <c r="S880" i="1"/>
  <c r="AB880" i="1"/>
  <c r="AH880" i="1"/>
  <c r="AI880" i="1"/>
  <c r="AM880" i="1"/>
  <c r="S881" i="1"/>
  <c r="AB881" i="1"/>
  <c r="AH881" i="1"/>
  <c r="AI881" i="1"/>
  <c r="AM881" i="1"/>
  <c r="S882" i="1"/>
  <c r="AB882" i="1"/>
  <c r="AH882" i="1"/>
  <c r="AI882" i="1"/>
  <c r="AM882" i="1"/>
  <c r="S883" i="1"/>
  <c r="AB883" i="1"/>
  <c r="AH883" i="1"/>
  <c r="AI883" i="1"/>
  <c r="AM883" i="1"/>
  <c r="S884" i="1"/>
  <c r="AB884" i="1"/>
  <c r="AH884" i="1"/>
  <c r="AI884" i="1"/>
  <c r="AM884" i="1"/>
  <c r="S885" i="1"/>
  <c r="AB885" i="1"/>
  <c r="AH885" i="1"/>
  <c r="AI885" i="1"/>
  <c r="AM885" i="1"/>
  <c r="S886" i="1"/>
  <c r="AB886" i="1"/>
  <c r="AH886" i="1"/>
  <c r="AI886" i="1"/>
  <c r="AM886" i="1"/>
  <c r="S887" i="1"/>
  <c r="AB887" i="1"/>
  <c r="AH887" i="1"/>
  <c r="AI887" i="1"/>
  <c r="AM887" i="1"/>
  <c r="S888" i="1"/>
  <c r="AB888" i="1"/>
  <c r="AH888" i="1"/>
  <c r="AI888" i="1"/>
  <c r="AM888" i="1"/>
  <c r="S889" i="1"/>
  <c r="AB889" i="1"/>
  <c r="AH889" i="1"/>
  <c r="AI889" i="1"/>
  <c r="AM889" i="1"/>
  <c r="S890" i="1"/>
  <c r="AB890" i="1"/>
  <c r="AH890" i="1"/>
  <c r="AI890" i="1"/>
  <c r="AM890" i="1"/>
  <c r="S891" i="1"/>
  <c r="AB891" i="1"/>
  <c r="AH891" i="1"/>
  <c r="AI891" i="1"/>
  <c r="AM891" i="1"/>
  <c r="S892" i="1"/>
  <c r="AB892" i="1"/>
  <c r="AH892" i="1"/>
  <c r="AI892" i="1"/>
  <c r="AM892" i="1"/>
  <c r="S893" i="1"/>
  <c r="AB893" i="1"/>
  <c r="AH893" i="1"/>
  <c r="AI893" i="1"/>
  <c r="AM893" i="1"/>
  <c r="S894" i="1"/>
  <c r="AB894" i="1"/>
  <c r="AH894" i="1"/>
  <c r="AI894" i="1"/>
  <c r="AM894" i="1"/>
  <c r="S895" i="1"/>
  <c r="AB895" i="1"/>
  <c r="AH895" i="1"/>
  <c r="AI895" i="1"/>
  <c r="AM895" i="1"/>
  <c r="S896" i="1"/>
  <c r="AB896" i="1"/>
  <c r="AH896" i="1"/>
  <c r="AI896" i="1"/>
  <c r="AM896" i="1"/>
  <c r="S897" i="1"/>
  <c r="AB897" i="1"/>
  <c r="AH897" i="1"/>
  <c r="AI897" i="1"/>
  <c r="AM897" i="1"/>
  <c r="S898" i="1"/>
  <c r="AB898" i="1"/>
  <c r="AH898" i="1"/>
  <c r="AI898" i="1"/>
  <c r="AM898" i="1"/>
  <c r="S899" i="1"/>
  <c r="AB899" i="1"/>
  <c r="AH899" i="1"/>
  <c r="AI899" i="1"/>
  <c r="AM899" i="1"/>
  <c r="S900" i="1"/>
  <c r="AB900" i="1"/>
  <c r="AH900" i="1"/>
  <c r="AI900" i="1"/>
  <c r="AM900" i="1"/>
  <c r="S901" i="1"/>
  <c r="AB901" i="1"/>
  <c r="AH901" i="1"/>
  <c r="AI901" i="1"/>
  <c r="AM901" i="1"/>
  <c r="S902" i="1"/>
  <c r="AB902" i="1"/>
  <c r="AH902" i="1"/>
  <c r="AI902" i="1"/>
  <c r="AM902" i="1"/>
  <c r="S903" i="1"/>
  <c r="AB903" i="1"/>
  <c r="AH903" i="1"/>
  <c r="AI903" i="1"/>
  <c r="AM903" i="1"/>
  <c r="S904" i="1"/>
  <c r="AB904" i="1"/>
  <c r="AH904" i="1"/>
  <c r="AI904" i="1"/>
  <c r="AM904" i="1"/>
  <c r="S905" i="1"/>
  <c r="AB905" i="1"/>
  <c r="AH905" i="1"/>
  <c r="AI905" i="1"/>
  <c r="AM905" i="1"/>
  <c r="S906" i="1"/>
  <c r="AB906" i="1"/>
  <c r="AH906" i="1"/>
  <c r="AI906" i="1"/>
  <c r="AM906" i="1"/>
  <c r="S907" i="1"/>
  <c r="AB907" i="1"/>
  <c r="AH907" i="1"/>
  <c r="AI907" i="1"/>
  <c r="AM907" i="1"/>
  <c r="S908" i="1"/>
  <c r="AB908" i="1"/>
  <c r="AH908" i="1"/>
  <c r="AI908" i="1"/>
  <c r="AM908" i="1"/>
  <c r="S909" i="1"/>
  <c r="AB909" i="1"/>
  <c r="AH909" i="1"/>
  <c r="AI909" i="1"/>
  <c r="AM909" i="1"/>
  <c r="S910" i="1"/>
  <c r="AB910" i="1"/>
  <c r="AH910" i="1"/>
  <c r="AI910" i="1"/>
  <c r="AM910" i="1"/>
  <c r="S911" i="1"/>
  <c r="AB911" i="1"/>
  <c r="AH911" i="1"/>
  <c r="AI911" i="1"/>
  <c r="AM911" i="1"/>
  <c r="S912" i="1"/>
  <c r="AB912" i="1"/>
  <c r="AH912" i="1"/>
  <c r="AI912" i="1"/>
  <c r="AM912" i="1"/>
  <c r="S913" i="1"/>
  <c r="AB913" i="1"/>
  <c r="AH913" i="1"/>
  <c r="AI913" i="1"/>
  <c r="AM913" i="1"/>
  <c r="S914" i="1"/>
  <c r="AB914" i="1"/>
  <c r="AH914" i="1"/>
  <c r="AI914" i="1"/>
  <c r="AM914" i="1"/>
  <c r="S915" i="1"/>
  <c r="AB915" i="1"/>
  <c r="AH915" i="1"/>
  <c r="AI915" i="1"/>
  <c r="AM915" i="1"/>
  <c r="S916" i="1"/>
  <c r="AB916" i="1"/>
  <c r="AH916" i="1"/>
  <c r="AI916" i="1"/>
  <c r="AM916" i="1"/>
  <c r="S917" i="1"/>
  <c r="AB917" i="1"/>
  <c r="AH917" i="1"/>
  <c r="AI917" i="1"/>
  <c r="AM917" i="1"/>
  <c r="S918" i="1"/>
  <c r="AB918" i="1"/>
  <c r="AH918" i="1"/>
  <c r="AI918" i="1"/>
  <c r="AM918" i="1"/>
  <c r="S919" i="1"/>
  <c r="AB919" i="1"/>
  <c r="AH919" i="1"/>
  <c r="AI919" i="1"/>
  <c r="AM919" i="1"/>
  <c r="S920" i="1"/>
  <c r="AB920" i="1"/>
  <c r="AH920" i="1"/>
  <c r="AI920" i="1"/>
  <c r="AM920" i="1"/>
  <c r="S921" i="1"/>
  <c r="AB921" i="1"/>
  <c r="AH921" i="1"/>
  <c r="AI921" i="1"/>
  <c r="AM921" i="1"/>
  <c r="S922" i="1"/>
  <c r="AB922" i="1"/>
  <c r="AH922" i="1"/>
  <c r="AI922" i="1"/>
  <c r="AM922" i="1"/>
  <c r="S923" i="1"/>
  <c r="AB923" i="1"/>
  <c r="AH923" i="1"/>
  <c r="AI923" i="1"/>
  <c r="AM923" i="1"/>
  <c r="S924" i="1"/>
  <c r="AB924" i="1"/>
  <c r="AH924" i="1"/>
  <c r="AI924" i="1"/>
  <c r="AM924" i="1"/>
  <c r="S925" i="1"/>
  <c r="AB925" i="1"/>
  <c r="AH925" i="1"/>
  <c r="AI925" i="1"/>
  <c r="AM925" i="1"/>
  <c r="S926" i="1"/>
  <c r="AB926" i="1"/>
  <c r="AH926" i="1"/>
  <c r="AI926" i="1"/>
  <c r="AM926" i="1"/>
  <c r="S927" i="1"/>
  <c r="AB927" i="1"/>
  <c r="AH927" i="1"/>
  <c r="AI927" i="1"/>
  <c r="AM927" i="1"/>
  <c r="S928" i="1"/>
  <c r="AB928" i="1"/>
  <c r="AH928" i="1"/>
  <c r="AI928" i="1"/>
  <c r="AM928" i="1"/>
  <c r="S929" i="1"/>
  <c r="AB929" i="1"/>
  <c r="AH929" i="1"/>
  <c r="AI929" i="1"/>
  <c r="AM929" i="1"/>
  <c r="S930" i="1"/>
  <c r="AB930" i="1"/>
  <c r="AH930" i="1"/>
  <c r="AI930" i="1"/>
  <c r="AM930" i="1"/>
  <c r="S931" i="1"/>
  <c r="AB931" i="1"/>
  <c r="AH931" i="1"/>
  <c r="AI931" i="1"/>
  <c r="AM931" i="1"/>
  <c r="S932" i="1"/>
  <c r="AB932" i="1"/>
  <c r="AH932" i="1"/>
  <c r="AI932" i="1"/>
  <c r="AM932" i="1"/>
  <c r="S933" i="1"/>
  <c r="AB933" i="1"/>
  <c r="AH933" i="1"/>
  <c r="AI933" i="1"/>
  <c r="AM933" i="1"/>
  <c r="S934" i="1"/>
  <c r="AB934" i="1"/>
  <c r="AH934" i="1"/>
  <c r="AI934" i="1"/>
  <c r="AM934" i="1"/>
  <c r="S935" i="1"/>
  <c r="AB935" i="1"/>
  <c r="AH935" i="1"/>
  <c r="AI935" i="1"/>
  <c r="AM935" i="1"/>
  <c r="S936" i="1"/>
  <c r="AB936" i="1"/>
  <c r="AH936" i="1"/>
  <c r="AI936" i="1"/>
  <c r="AM936" i="1"/>
  <c r="S937" i="1"/>
  <c r="AB937" i="1"/>
  <c r="AH937" i="1"/>
  <c r="AI937" i="1"/>
  <c r="AM937" i="1"/>
  <c r="S938" i="1"/>
  <c r="AB938" i="1"/>
  <c r="AH938" i="1"/>
  <c r="AI938" i="1"/>
  <c r="AM938" i="1"/>
  <c r="S939" i="1"/>
  <c r="AB939" i="1"/>
  <c r="AH939" i="1"/>
  <c r="AI939" i="1"/>
  <c r="AM939" i="1"/>
  <c r="S940" i="1"/>
  <c r="AB940" i="1"/>
  <c r="AH940" i="1"/>
  <c r="AI940" i="1"/>
  <c r="AM940" i="1"/>
  <c r="S941" i="1"/>
  <c r="AB941" i="1"/>
  <c r="AH941" i="1"/>
  <c r="AI941" i="1"/>
  <c r="AM941" i="1"/>
  <c r="S942" i="1"/>
  <c r="AB942" i="1"/>
  <c r="AH942" i="1"/>
  <c r="AI942" i="1"/>
  <c r="AM942" i="1"/>
  <c r="S943" i="1"/>
  <c r="AB943" i="1"/>
  <c r="AH943" i="1"/>
  <c r="AI943" i="1"/>
  <c r="AM943" i="1"/>
  <c r="S944" i="1"/>
  <c r="AB944" i="1"/>
  <c r="AH944" i="1"/>
  <c r="AI944" i="1"/>
  <c r="AM944" i="1"/>
  <c r="S945" i="1"/>
  <c r="AB945" i="1"/>
  <c r="AH945" i="1"/>
  <c r="AI945" i="1"/>
  <c r="AM945" i="1"/>
  <c r="S946" i="1"/>
  <c r="AB946" i="1"/>
  <c r="AH946" i="1"/>
  <c r="AI946" i="1"/>
  <c r="AM946" i="1"/>
  <c r="S947" i="1"/>
  <c r="AB947" i="1"/>
  <c r="AH947" i="1"/>
  <c r="AI947" i="1"/>
  <c r="AM947" i="1"/>
  <c r="S948" i="1"/>
  <c r="AB948" i="1"/>
  <c r="AH948" i="1"/>
  <c r="AI948" i="1"/>
  <c r="AM948" i="1"/>
  <c r="S949" i="1"/>
  <c r="AB949" i="1"/>
  <c r="AH949" i="1"/>
  <c r="AI949" i="1"/>
  <c r="AM949" i="1"/>
  <c r="S950" i="1"/>
  <c r="AB950" i="1"/>
  <c r="AH950" i="1"/>
  <c r="AI950" i="1"/>
  <c r="AM950" i="1"/>
  <c r="S951" i="1"/>
  <c r="AB951" i="1"/>
  <c r="AH951" i="1"/>
  <c r="AI951" i="1"/>
  <c r="AM951" i="1"/>
  <c r="S952" i="1"/>
  <c r="AB952" i="1"/>
  <c r="AH952" i="1"/>
  <c r="AI952" i="1"/>
  <c r="AM952" i="1"/>
  <c r="S953" i="1"/>
  <c r="AB953" i="1"/>
  <c r="AH953" i="1"/>
  <c r="AI953" i="1"/>
  <c r="AM953" i="1"/>
  <c r="S954" i="1"/>
  <c r="AB954" i="1"/>
  <c r="AH954" i="1"/>
  <c r="AI954" i="1"/>
  <c r="AM954" i="1"/>
  <c r="S955" i="1"/>
  <c r="AB955" i="1"/>
  <c r="AH955" i="1"/>
  <c r="AI955" i="1"/>
  <c r="AM955" i="1"/>
  <c r="S956" i="1"/>
  <c r="AB956" i="1"/>
  <c r="AH956" i="1"/>
  <c r="AI956" i="1"/>
  <c r="AM956" i="1"/>
  <c r="S957" i="1"/>
  <c r="AB957" i="1"/>
  <c r="AH957" i="1"/>
  <c r="AI957" i="1"/>
  <c r="AM957" i="1"/>
  <c r="S958" i="1"/>
  <c r="AB958" i="1"/>
  <c r="AH958" i="1"/>
  <c r="AI958" i="1"/>
  <c r="AM958" i="1"/>
  <c r="S959" i="1"/>
  <c r="AB959" i="1"/>
  <c r="AH959" i="1"/>
  <c r="AI959" i="1"/>
  <c r="AM959" i="1"/>
  <c r="S960" i="1"/>
  <c r="AB960" i="1"/>
  <c r="AH960" i="1"/>
  <c r="AI960" i="1"/>
  <c r="AM960" i="1"/>
  <c r="S961" i="1"/>
  <c r="AB961" i="1"/>
  <c r="AH961" i="1"/>
  <c r="AI961" i="1"/>
  <c r="AM961" i="1"/>
  <c r="S962" i="1"/>
  <c r="AB962" i="1"/>
  <c r="AH962" i="1"/>
  <c r="AI962" i="1"/>
  <c r="AM962" i="1"/>
  <c r="S963" i="1"/>
  <c r="AB963" i="1"/>
  <c r="AH963" i="1"/>
  <c r="AI963" i="1"/>
  <c r="AM963" i="1"/>
  <c r="S964" i="1"/>
  <c r="AB964" i="1"/>
  <c r="AH964" i="1"/>
  <c r="AI964" i="1"/>
  <c r="AM964" i="1"/>
  <c r="S965" i="1"/>
  <c r="AB965" i="1"/>
  <c r="AH965" i="1"/>
  <c r="AI965" i="1"/>
  <c r="AM965" i="1"/>
  <c r="S966" i="1"/>
  <c r="AB966" i="1"/>
  <c r="AH966" i="1"/>
  <c r="AI966" i="1"/>
  <c r="AM966" i="1"/>
  <c r="S967" i="1"/>
  <c r="AB967" i="1"/>
  <c r="AH967" i="1"/>
  <c r="AI967" i="1"/>
  <c r="AM967" i="1"/>
  <c r="S968" i="1"/>
  <c r="AB968" i="1"/>
  <c r="AH968" i="1"/>
  <c r="AI968" i="1"/>
  <c r="AM968" i="1"/>
  <c r="S969" i="1"/>
  <c r="AB969" i="1"/>
  <c r="AH969" i="1"/>
  <c r="AI969" i="1"/>
  <c r="AM969" i="1"/>
  <c r="S970" i="1"/>
  <c r="AB970" i="1"/>
  <c r="AH970" i="1"/>
  <c r="AI970" i="1"/>
  <c r="AM970" i="1"/>
  <c r="S971" i="1"/>
  <c r="AB971" i="1"/>
  <c r="AH971" i="1"/>
  <c r="AI971" i="1"/>
  <c r="AM971" i="1"/>
  <c r="S972" i="1"/>
  <c r="AB972" i="1"/>
  <c r="AH972" i="1"/>
  <c r="AI972" i="1"/>
  <c r="AM972" i="1"/>
  <c r="S973" i="1"/>
  <c r="AB973" i="1"/>
  <c r="AH973" i="1"/>
  <c r="AI973" i="1"/>
  <c r="AM973" i="1"/>
  <c r="S974" i="1"/>
  <c r="AB974" i="1"/>
  <c r="AH974" i="1"/>
  <c r="AI974" i="1"/>
  <c r="AM974" i="1"/>
  <c r="S975" i="1"/>
  <c r="AB975" i="1"/>
  <c r="AH975" i="1"/>
  <c r="AI975" i="1"/>
  <c r="AM975" i="1"/>
  <c r="S976" i="1"/>
  <c r="AB976" i="1"/>
  <c r="AH976" i="1"/>
  <c r="AI976" i="1"/>
  <c r="AM976" i="1"/>
  <c r="S977" i="1"/>
  <c r="AB977" i="1"/>
  <c r="AH977" i="1"/>
  <c r="AI977" i="1"/>
  <c r="AM977" i="1"/>
  <c r="S978" i="1"/>
  <c r="AB978" i="1"/>
  <c r="AH978" i="1"/>
  <c r="AI978" i="1"/>
  <c r="AM978" i="1"/>
  <c r="S979" i="1"/>
  <c r="AB979" i="1"/>
  <c r="AH979" i="1"/>
  <c r="AI979" i="1"/>
  <c r="AM979" i="1"/>
  <c r="S980" i="1"/>
  <c r="AB980" i="1"/>
  <c r="AH980" i="1"/>
  <c r="AI980" i="1"/>
  <c r="AM980" i="1"/>
  <c r="S981" i="1"/>
  <c r="AB981" i="1"/>
  <c r="AH981" i="1"/>
  <c r="AI981" i="1"/>
  <c r="AM981" i="1"/>
  <c r="S982" i="1"/>
  <c r="AB982" i="1"/>
  <c r="AH982" i="1"/>
  <c r="AI982" i="1"/>
  <c r="AM982" i="1"/>
  <c r="S983" i="1"/>
  <c r="AB983" i="1"/>
  <c r="AH983" i="1"/>
  <c r="AI983" i="1"/>
  <c r="AM983" i="1"/>
  <c r="S984" i="1"/>
  <c r="AB984" i="1"/>
  <c r="AH984" i="1"/>
  <c r="AI984" i="1"/>
  <c r="AM984" i="1"/>
  <c r="S985" i="1"/>
  <c r="AB985" i="1"/>
  <c r="AH985" i="1"/>
  <c r="AI985" i="1"/>
  <c r="AM985" i="1"/>
  <c r="S986" i="1"/>
  <c r="AB986" i="1"/>
  <c r="AH986" i="1"/>
  <c r="AI986" i="1"/>
  <c r="AM986" i="1"/>
  <c r="S987" i="1"/>
  <c r="AB987" i="1"/>
  <c r="AH987" i="1"/>
  <c r="AI987" i="1"/>
  <c r="AM987" i="1"/>
  <c r="S988" i="1"/>
  <c r="AB988" i="1"/>
  <c r="AH988" i="1"/>
  <c r="AI988" i="1"/>
  <c r="AM988" i="1"/>
  <c r="S989" i="1"/>
  <c r="AB989" i="1"/>
  <c r="AH989" i="1"/>
  <c r="AI989" i="1"/>
  <c r="AM989" i="1"/>
  <c r="S990" i="1"/>
  <c r="AB990" i="1"/>
  <c r="AH990" i="1"/>
  <c r="AI990" i="1"/>
  <c r="AM990" i="1"/>
  <c r="S991" i="1"/>
  <c r="AB991" i="1"/>
  <c r="AH991" i="1"/>
  <c r="AI991" i="1"/>
  <c r="AM991" i="1"/>
  <c r="S992" i="1"/>
  <c r="AB992" i="1"/>
  <c r="AH992" i="1"/>
  <c r="AI992" i="1"/>
  <c r="AM992" i="1"/>
  <c r="S993" i="1"/>
  <c r="AB993" i="1"/>
  <c r="AH993" i="1"/>
  <c r="AI993" i="1"/>
  <c r="AM993" i="1"/>
  <c r="S994" i="1"/>
  <c r="AB994" i="1"/>
  <c r="AH994" i="1"/>
  <c r="AI994" i="1"/>
  <c r="AM994" i="1"/>
  <c r="S995" i="1"/>
  <c r="AB995" i="1"/>
  <c r="AH995" i="1"/>
  <c r="AI995" i="1"/>
  <c r="AM995" i="1"/>
  <c r="S996" i="1"/>
  <c r="AB996" i="1"/>
  <c r="AH996" i="1"/>
  <c r="AI996" i="1"/>
  <c r="AM996" i="1"/>
  <c r="S997" i="1"/>
  <c r="AB997" i="1"/>
  <c r="AH997" i="1"/>
  <c r="AI997" i="1"/>
  <c r="AM997" i="1"/>
  <c r="S998" i="1"/>
  <c r="AB998" i="1"/>
  <c r="AH998" i="1"/>
  <c r="AM998" i="1"/>
  <c r="S999" i="1"/>
  <c r="AB999" i="1"/>
  <c r="AH999" i="1"/>
  <c r="AI999" i="1"/>
  <c r="AM999" i="1"/>
  <c r="S1000" i="1"/>
  <c r="AH1000" i="1"/>
  <c r="AS1000" i="1"/>
  <c r="S1001" i="1"/>
  <c r="AH1001" i="1"/>
  <c r="S1002" i="1"/>
  <c r="AB1002" i="1"/>
  <c r="AH1002" i="1"/>
  <c r="S1003" i="1"/>
  <c r="AH1003" i="1"/>
  <c r="R1004" i="1"/>
  <c r="S1004" i="1"/>
  <c r="AB1004" i="1"/>
  <c r="AH1004" i="1"/>
  <c r="R1005" i="1"/>
  <c r="S1005" i="1"/>
  <c r="AB1005" i="1"/>
  <c r="AH1005" i="1"/>
  <c r="R1006" i="1"/>
  <c r="S1006" i="1"/>
  <c r="AB1006" i="1"/>
  <c r="AH1006" i="1"/>
  <c r="R1007" i="1"/>
  <c r="S1007" i="1"/>
  <c r="AB1007" i="1"/>
  <c r="AH1007" i="1"/>
  <c r="R1008" i="1"/>
  <c r="S1008" i="1"/>
  <c r="AB1008" i="1"/>
  <c r="AH1008" i="1"/>
  <c r="S1009" i="1"/>
  <c r="AB1009" i="1"/>
  <c r="AH1009" i="1"/>
  <c r="AI1009" i="1"/>
  <c r="AM1009" i="1"/>
  <c r="S1010" i="1"/>
  <c r="AB1010" i="1"/>
  <c r="AH1010" i="1"/>
  <c r="AI1010" i="1"/>
  <c r="AM1010" i="1"/>
  <c r="S1011" i="1"/>
  <c r="AB1011" i="1"/>
  <c r="AH1011" i="1"/>
  <c r="AI1011" i="1"/>
  <c r="AM1011" i="1"/>
  <c r="S1012" i="1"/>
  <c r="AB1012" i="1"/>
  <c r="AH1012" i="1"/>
  <c r="AI1012" i="1"/>
  <c r="AM1012" i="1"/>
  <c r="S1013" i="1"/>
  <c r="AB1013" i="1"/>
  <c r="AH1013" i="1"/>
  <c r="AI1013" i="1"/>
  <c r="AM1013" i="1"/>
  <c r="S1014" i="1"/>
  <c r="AB1014" i="1"/>
  <c r="AH1014" i="1"/>
  <c r="AI1014" i="1"/>
  <c r="AM1014" i="1"/>
  <c r="S1015" i="1"/>
  <c r="AB1015" i="1"/>
  <c r="AH1015" i="1"/>
  <c r="AM1015" i="1"/>
  <c r="S1016" i="1"/>
  <c r="AB1016" i="1"/>
  <c r="AH1016" i="1"/>
  <c r="AI1016" i="1"/>
  <c r="AM1016" i="1"/>
  <c r="S1017" i="1"/>
  <c r="AB1017" i="1"/>
  <c r="AH1017" i="1"/>
  <c r="AM1017" i="1"/>
  <c r="S1018" i="1"/>
  <c r="AB1018" i="1"/>
  <c r="AH1018" i="1"/>
  <c r="AM1018" i="1"/>
  <c r="S1019" i="1"/>
  <c r="AB1019" i="1"/>
  <c r="AH1019" i="1"/>
  <c r="AI1019" i="1"/>
  <c r="AM1019" i="1"/>
  <c r="S1020" i="1"/>
  <c r="AB1020" i="1"/>
  <c r="AH1020" i="1"/>
  <c r="AI1020" i="1"/>
  <c r="AM1020" i="1"/>
  <c r="S1021" i="1"/>
  <c r="AB1021" i="1"/>
  <c r="AH1021" i="1"/>
  <c r="AI1021" i="1"/>
  <c r="AM1021" i="1"/>
  <c r="S1022" i="1"/>
  <c r="AB1022" i="1"/>
  <c r="AH1022" i="1"/>
  <c r="AI1022" i="1"/>
  <c r="AM1022" i="1"/>
  <c r="S1023" i="1"/>
  <c r="AB1023" i="1"/>
  <c r="AH1023" i="1"/>
  <c r="AI1023" i="1"/>
  <c r="AM1023" i="1"/>
  <c r="S1024" i="1"/>
  <c r="AB1024" i="1"/>
  <c r="AH1024" i="1"/>
  <c r="AI1024" i="1"/>
  <c r="AM1024" i="1"/>
  <c r="S1025" i="1"/>
  <c r="AB1025" i="1"/>
  <c r="AH1025" i="1"/>
  <c r="AI1025" i="1"/>
  <c r="AM1025" i="1"/>
  <c r="S1026" i="1"/>
  <c r="AB1026" i="1"/>
  <c r="AH1026" i="1"/>
  <c r="AI1026" i="1"/>
  <c r="AM1026" i="1"/>
  <c r="S1027" i="1"/>
  <c r="AB1027" i="1"/>
  <c r="AH1027" i="1"/>
  <c r="AI1027" i="1"/>
  <c r="AM1027" i="1"/>
  <c r="S1028" i="1"/>
  <c r="AB1028" i="1"/>
  <c r="AH1028" i="1"/>
  <c r="AI1028" i="1"/>
  <c r="AM1028" i="1"/>
  <c r="S1029" i="1"/>
  <c r="AB1029" i="1"/>
  <c r="AH1029" i="1"/>
  <c r="AI1029" i="1"/>
  <c r="AM1029" i="1"/>
  <c r="S1030" i="1"/>
  <c r="AB1030" i="1"/>
  <c r="AH1030" i="1"/>
  <c r="AI1030" i="1"/>
  <c r="AM1030" i="1"/>
  <c r="S1031" i="1"/>
  <c r="AB1031" i="1"/>
  <c r="AH1031" i="1"/>
  <c r="AI1031" i="1"/>
  <c r="AM1031" i="1"/>
  <c r="S1032" i="1"/>
  <c r="AB1032" i="1"/>
  <c r="AH1032" i="1"/>
  <c r="AI1032" i="1"/>
  <c r="AM1032" i="1"/>
  <c r="S1033" i="1"/>
  <c r="AB1033" i="1"/>
  <c r="AH1033" i="1"/>
  <c r="AI1033" i="1"/>
  <c r="AM1033" i="1"/>
  <c r="S1034" i="1"/>
  <c r="AB1034" i="1"/>
  <c r="AH1034" i="1"/>
  <c r="AI1034" i="1"/>
  <c r="AM1034" i="1"/>
  <c r="S1035" i="1"/>
  <c r="AB1035" i="1"/>
  <c r="AH1035" i="1"/>
  <c r="AI1035" i="1"/>
  <c r="AM1035" i="1"/>
  <c r="S1036" i="1"/>
  <c r="AB1036" i="1"/>
  <c r="AH1036" i="1"/>
  <c r="AI1036" i="1"/>
  <c r="AM1036" i="1"/>
  <c r="S1037" i="1"/>
  <c r="AB1037" i="1"/>
  <c r="AH1037" i="1"/>
  <c r="AI1037" i="1"/>
  <c r="AM1037" i="1"/>
  <c r="S1038" i="1"/>
  <c r="AB1038" i="1"/>
  <c r="AH1038" i="1"/>
  <c r="AI1038" i="1"/>
  <c r="AM1038" i="1"/>
  <c r="S1039" i="1"/>
  <c r="AB1039" i="1"/>
  <c r="AH1039" i="1"/>
  <c r="AI1039" i="1"/>
  <c r="AM1039" i="1"/>
  <c r="S1040" i="1"/>
  <c r="AB1040" i="1"/>
  <c r="AH1040" i="1"/>
  <c r="AI1040" i="1"/>
  <c r="AM1040" i="1"/>
  <c r="S1041" i="1"/>
  <c r="AB1041" i="1"/>
  <c r="AH1041" i="1"/>
  <c r="AI1041" i="1"/>
  <c r="AM1041" i="1"/>
  <c r="S1042" i="1"/>
  <c r="AB1042" i="1"/>
  <c r="AH1042" i="1"/>
  <c r="AI1042" i="1"/>
  <c r="AM1042" i="1"/>
  <c r="S1043" i="1"/>
  <c r="AB1043" i="1"/>
  <c r="AH1043" i="1"/>
  <c r="AI1043" i="1"/>
  <c r="AM1043" i="1"/>
  <c r="AB1044" i="1"/>
  <c r="AH1044" i="1"/>
  <c r="AI1044" i="1"/>
  <c r="AM1044" i="1"/>
  <c r="AB1045" i="1"/>
  <c r="AH1045" i="1"/>
  <c r="AI1045" i="1"/>
  <c r="AM1045" i="1"/>
  <c r="AB1046" i="1"/>
  <c r="AH1046" i="1"/>
  <c r="AI1046" i="1"/>
  <c r="AM1046" i="1"/>
  <c r="AB1047" i="1"/>
  <c r="AH1047" i="1"/>
  <c r="AI1047" i="1"/>
  <c r="AM1047" i="1"/>
  <c r="AB1048" i="1"/>
  <c r="AH1048" i="1"/>
  <c r="AI1048" i="1"/>
  <c r="AM1048" i="1"/>
  <c r="AB1049" i="1"/>
  <c r="AH1049" i="1"/>
  <c r="AI1049" i="1"/>
  <c r="AM1049" i="1"/>
  <c r="S1050" i="1"/>
  <c r="AB1050" i="1"/>
  <c r="AH1050" i="1"/>
  <c r="AI1050" i="1"/>
  <c r="AM1050" i="1"/>
  <c r="S1051" i="1"/>
  <c r="AB1051" i="1"/>
  <c r="AH1051" i="1"/>
  <c r="AI1051" i="1"/>
  <c r="AM1051" i="1"/>
  <c r="AB1052" i="1"/>
  <c r="AH1052" i="1"/>
  <c r="AI1052" i="1"/>
  <c r="AM1052" i="1"/>
  <c r="AB1053" i="1"/>
  <c r="AH1053" i="1"/>
  <c r="AI1053" i="1"/>
  <c r="AM1053" i="1"/>
  <c r="S1054" i="1"/>
  <c r="AB1054" i="1"/>
  <c r="AH1054" i="1"/>
  <c r="AI1054" i="1"/>
  <c r="AM1054" i="1"/>
  <c r="S1056" i="1"/>
  <c r="AB1056" i="1"/>
  <c r="AH1056" i="1"/>
  <c r="AI1056" i="1"/>
  <c r="AM1056" i="1"/>
  <c r="S1057" i="1"/>
  <c r="AB1057" i="1"/>
  <c r="AH1057" i="1"/>
  <c r="AI1057" i="1"/>
  <c r="AM1057" i="1"/>
  <c r="S1058" i="1"/>
  <c r="AB1058" i="1"/>
  <c r="AI1058" i="1"/>
  <c r="S1059" i="1"/>
  <c r="AB1059" i="1"/>
  <c r="AH1059" i="1"/>
  <c r="AI1059" i="1"/>
  <c r="AM1059" i="1"/>
  <c r="S1060" i="1"/>
  <c r="AB1060" i="1"/>
  <c r="AH1060" i="1"/>
  <c r="AI1060" i="1"/>
  <c r="AM1060" i="1"/>
</calcChain>
</file>

<file path=xl/sharedStrings.xml><?xml version="1.0" encoding="utf-8"?>
<sst xmlns="http://schemas.openxmlformats.org/spreadsheetml/2006/main" count="10233" uniqueCount="1823">
  <si>
    <t>Esercizio</t>
  </si>
  <si>
    <t>Numero</t>
  </si>
  <si>
    <t>Data</t>
  </si>
  <si>
    <t>Eser impegno</t>
  </si>
  <si>
    <t>ESPF impegno</t>
  </si>
  <si>
    <t>Nume impegno</t>
  </si>
  <si>
    <t>C/C Tesoreria</t>
  </si>
  <si>
    <t>Descrizione impegno</t>
  </si>
  <si>
    <t>Capitolo</t>
  </si>
  <si>
    <t>Artticolo</t>
  </si>
  <si>
    <t>Descrizione capitolo</t>
  </si>
  <si>
    <t>Eser.deli.</t>
  </si>
  <si>
    <t>Prog.deli.</t>
  </si>
  <si>
    <t>Numero deli.</t>
  </si>
  <si>
    <t>Tipo deli.</t>
  </si>
  <si>
    <t>Data deli.</t>
  </si>
  <si>
    <t>Descrizione delibera</t>
  </si>
  <si>
    <t>Codice CIG</t>
  </si>
  <si>
    <t>Ufficio Codice</t>
  </si>
  <si>
    <t>Ufficio Descrizione</t>
  </si>
  <si>
    <t>PDCF</t>
  </si>
  <si>
    <t>PDCF desc.</t>
  </si>
  <si>
    <t>Descrizione mandato</t>
  </si>
  <si>
    <t>Note mandato</t>
  </si>
  <si>
    <t>Soggetto</t>
  </si>
  <si>
    <t>Cognome</t>
  </si>
  <si>
    <t>Nome</t>
  </si>
  <si>
    <t>C.Fiscale</t>
  </si>
  <si>
    <t>Tipo Pagamento</t>
  </si>
  <si>
    <t>Iban</t>
  </si>
  <si>
    <t>Bic</t>
  </si>
  <si>
    <t>Docu. eser.</t>
  </si>
  <si>
    <t>Docu. prog.</t>
  </si>
  <si>
    <t>Docu. tipo</t>
  </si>
  <si>
    <t>Docu. numero</t>
  </si>
  <si>
    <t>Docu. data</t>
  </si>
  <si>
    <t>Docu. descrizione</t>
  </si>
  <si>
    <t>Docu. importo</t>
  </si>
  <si>
    <t>ID SDI</t>
  </si>
  <si>
    <t>Liqu. eser.</t>
  </si>
  <si>
    <t>Liqu. numero</t>
  </si>
  <si>
    <t>Importo scar.</t>
  </si>
  <si>
    <t>Di cui Iva</t>
  </si>
  <si>
    <t>Totale ritenute</t>
  </si>
  <si>
    <t>Voce Ritenuta</t>
  </si>
  <si>
    <t>Imponibile Ritenuta</t>
  </si>
  <si>
    <t>Ritenuta</t>
  </si>
  <si>
    <t>Reve.collegata eser.</t>
  </si>
  <si>
    <t>Reve.collegata prog.</t>
  </si>
  <si>
    <t>Reve.collegata capi.</t>
  </si>
  <si>
    <t>Reve.collegata arti.</t>
  </si>
  <si>
    <t>Reve.collegata desc.</t>
  </si>
  <si>
    <t>Importo Pagato</t>
  </si>
  <si>
    <t>Data Pagamento</t>
  </si>
  <si>
    <t>Anticipazioni servizio economato anno 2023</t>
  </si>
  <si>
    <t>ANTICIPAZIONI SERVIZIO  ECONOMATO</t>
  </si>
  <si>
    <t>Anticipo fondi servizio economato anno 2023 - GIROCONTO CON REVERSALE N.1/2023</t>
  </si>
  <si>
    <t>ECONOMO CONSORZIALE</t>
  </si>
  <si>
    <t>COASSIN MONICA</t>
  </si>
  <si>
    <t>CSSMNC69C54G914T</t>
  </si>
  <si>
    <t>GIROCONTO</t>
  </si>
  <si>
    <t>Servizi assicurativi anno 2022</t>
  </si>
  <si>
    <t>ASSICURAZIONI</t>
  </si>
  <si>
    <t>ZC0302C13D</t>
  </si>
  <si>
    <t>DIRETTORE AREA AMMINISTRATIVA</t>
  </si>
  <si>
    <t>CIG:ZC0302C13D - Premio 31/12/2022-31/12/2023 polizza Unipol n.178407163 rischi diversi attrezzature e apparecchiature elettroniche a noleggio</t>
  </si>
  <si>
    <t>ARIOSTEA BROKER SRL</t>
  </si>
  <si>
    <t>A COPERTURA PROVVISORIO</t>
  </si>
  <si>
    <t>CIG:ZC0302C13D - Premio 31/12/2022-31/12/2023 Polizza UnipolSai n.178407163 copertura assicurativa impianti ed apparecchiature elettroniche a noleggio</t>
  </si>
  <si>
    <t>Centro di costo 620/003/001 - 630/003/002 -  630/003/003 - 2022 - IRAP anno 2022</t>
  </si>
  <si>
    <t>IMPOSTE E TASSE</t>
  </si>
  <si>
    <t>IRAP su retribuzioni mese 12/2022 personale uffici - operai (q.p.)</t>
  </si>
  <si>
    <t>REGIONE VENETO</t>
  </si>
  <si>
    <t>A</t>
  </si>
  <si>
    <t>IRAP su retribuzioni mese 12/2022 personale uffici - operai, compensi Amministratori</t>
  </si>
  <si>
    <t>Centro di costo 620/003/001 - 2020 - IRAP anno 2020</t>
  </si>
  <si>
    <t>Centro di costo 330/002/001 - 2022 - Compensi e rimborsi Presidente e C.d.A. - Anno 2022</t>
  </si>
  <si>
    <t>COMPENSI  E RIMBORSI AGLI  AMMINISTRATORI E AL REVISORE UNICO</t>
  </si>
  <si>
    <t>DIRETTORE GENERALE</t>
  </si>
  <si>
    <t>IRAP su compensi mese 12/2022 Presidente e Vice Presidente</t>
  </si>
  <si>
    <t>Centro di costo 330/003/001 - 2022 - Compensi e rimborsi al Revisore unico dei conti - Anno 2022</t>
  </si>
  <si>
    <t>IRAP su compenso 2^ semestre 2022 Revisore dei Conti</t>
  </si>
  <si>
    <t>Ritenute IRPEF personale</t>
  </si>
  <si>
    <t>RITENUTE ERARIALI</t>
  </si>
  <si>
    <t>ritenute IRPEF su retribuzioni mese 12/2022 personale dipendente-pensionato - A MEZZO F24 TELEMATICO</t>
  </si>
  <si>
    <t>ENTI DIVERSI : ERARIO -  REGIONI - COMUNI</t>
  </si>
  <si>
    <t>ritenute IRPEF su retribuzioni mese 12/2022 personale dipendente-pensionato, lav.autonomo</t>
  </si>
  <si>
    <t>Ritenute IRPEF lavoro autonomo</t>
  </si>
  <si>
    <t>ritenute IRPEF su lavoro autonomo 12/2022 - A MEZZO F24 TELEMATICO</t>
  </si>
  <si>
    <t>Centro di costo 300/004/001 - 2022 - Contributi a carico dell'Ente per il personale d'ufficio ed esterno - Anno 2022</t>
  </si>
  <si>
    <t>CONTRIBUTI A CARICO DELL'ENTE PER IL PERSONALE</t>
  </si>
  <si>
    <t>contributi su retribuzioni mese 12/2022 personale uffici-operai - A MEZZO F24 TELEMATICO</t>
  </si>
  <si>
    <t>I.N.P.S.</t>
  </si>
  <si>
    <t>contributi su retribuzioni mese 12/2022 personale uffici-operai e compensi Amm.ri</t>
  </si>
  <si>
    <t>Ritenute previdenziali e assistenziali anno 2022</t>
  </si>
  <si>
    <t>RITENUTE PREVIDENZIALI E ASSISTENZIALI AL PERSONALE</t>
  </si>
  <si>
    <t>contributi su retribuzioni mese 12/2022 personale dipendente - A MEZZO F24 TELEMATICO</t>
  </si>
  <si>
    <t>contributi su compensi mese 12/2022 Amministratori - A MEZZO F24 TELEMATICO</t>
  </si>
  <si>
    <t>contributi su retribuzioni mese 12/2022 personale uffici - A MEZZO F24 TELEMATICO</t>
  </si>
  <si>
    <t>I.N.P.D.A.P. - GESTIONE EX E.N.P.D.E.P.</t>
  </si>
  <si>
    <t>contributi su retribuzioni mese 12/2022 personale uffici</t>
  </si>
  <si>
    <t>contributi su retribuzioni mese 12/2022 personale uffici-operai</t>
  </si>
  <si>
    <t>FONDO PENSIONE AGRIFONDO</t>
  </si>
  <si>
    <t>MAV - DOCUMENTO ESTERNO</t>
  </si>
  <si>
    <t>contributi su retribuzioni mese 12/2022 personale dipendente</t>
  </si>
  <si>
    <t>contributi fondo previdenza su retribuzioni mese 12/2022 personale uffici-operai</t>
  </si>
  <si>
    <t>E.N.P.A.I.A.</t>
  </si>
  <si>
    <t>contributi fondo previdenza su retribuzioni mese 12/2022 personale dipendente</t>
  </si>
  <si>
    <t>contributi fondo TFR su retribuzioni mese 12/2022 personale uffici-operai</t>
  </si>
  <si>
    <t>Centro di costo 305/001/004 - 2022 - Contributo associativo SNEBI anno 2022</t>
  </si>
  <si>
    <t>CONTRIBUTI ASSOCIATIVI</t>
  </si>
  <si>
    <t>contributi SNEBI su retribuzioni mese 12/2022</t>
  </si>
  <si>
    <t>Cessione quinto stipendio anno 2023</t>
  </si>
  <si>
    <t>ALTRE RITENUTE AL PERSONALE PER CONTO DI TERZI</t>
  </si>
  <si>
    <t>cessione quinto stipendio mese 01/2023</t>
  </si>
  <si>
    <t>SIGLA S.R.L.</t>
  </si>
  <si>
    <t>BONIFICO BANCARIO</t>
  </si>
  <si>
    <t>IT29A0306912711100000012670</t>
  </si>
  <si>
    <t>contributi 2^ trim.2022 personale operaio (q.p.) - A MEZZO F24 TELEMATICO - vedi reversale n.2/2023</t>
  </si>
  <si>
    <t>Centro di costo 435/002/002 - 2020 - CIG:Z8526F7EFB - Fornitura lubrificanti e grasso</t>
  </si>
  <si>
    <t>ACQUISTO DI BENI</t>
  </si>
  <si>
    <t>Z8526F7EFB</t>
  </si>
  <si>
    <t>DIRETTORE AREA TECNICA</t>
  </si>
  <si>
    <t>CIG:Z8526F7EFB - Fornitura carburante mezzi cons.li mese 11/2022 (IVA)</t>
  </si>
  <si>
    <t>ENI S.P.A. DIVISIONE REFINING &amp; MARKETING</t>
  </si>
  <si>
    <t>Fattura n.30311557 del 17/11/2022  - CIG:Z8526F7EFB - fornitura carburante mezzi cons.li 1^ quindicina mese 11/2022</t>
  </si>
  <si>
    <t>Fattura n.30352123 del 30/11/2022  - CIG:Z8526F7EFB - fornitura carburante mezzi cons.li 2^ quindicina mese 11/2022</t>
  </si>
  <si>
    <t>Centro di costo 460/001/001 - 2022 - Fornitura gas naturale sede operativa di San Donà di Piave</t>
  </si>
  <si>
    <t>UTENZE</t>
  </si>
  <si>
    <t>Fornitura gas metano sede San Dona' di Piave mese 10/2022 (IVA)</t>
  </si>
  <si>
    <t>ACINQUE ENERGIA S.R.L.</t>
  </si>
  <si>
    <t>Fattura n.V120220001245837 del 18/11/2022 - Fornitura gas metano sede San Dona' di Piave mese 10/2022</t>
  </si>
  <si>
    <t>Centro di costo 460/001/003 - 2022 - Fornitura gas metano da riscaldamento per la sede di Portogruaro</t>
  </si>
  <si>
    <t>Fornitura gas metano sede Portogruaro mese 11/2022 (IVA)</t>
  </si>
  <si>
    <t>HERA S.P.A.</t>
  </si>
  <si>
    <t>Fattura n.832203359820 del 10/12/2022 - Fornitura gas metano sede Portogruaro mese 11/2022</t>
  </si>
  <si>
    <t>Centro di costo 300/007/002 - 2022 - Rimborso spese varie sostenute dal personale per ragioni di servizio</t>
  </si>
  <si>
    <t>ALTRE SPESE PER IL PERSONALE</t>
  </si>
  <si>
    <t>Pedaggi autostradali del direttore generale per ragioni di servizio periodo 15/11 - 15/12/2022 (IVA)</t>
  </si>
  <si>
    <t>AUTOSTRADE PER L'ITALIA S.P.A.</t>
  </si>
  <si>
    <t>Fattura n.900038029D del 30/12/2022 - Pedaggi autostradali del direttore generale per ragioni di servizio periodo 15/11 - 15/12/2022</t>
  </si>
  <si>
    <t>Canone promozionale (IVA)</t>
  </si>
  <si>
    <t>TELEPASS S.P.A.</t>
  </si>
  <si>
    <t>Fattura n.900038744T del 30/12/2022 - Canone promozionale</t>
  </si>
  <si>
    <t>Centro di costo 460/003/002 - 2022 - Fornitura acqua impianti idrovori</t>
  </si>
  <si>
    <t>Fornitura acqua impianto VI bacino - Periodo 27/05-20/09/2022 (IVA)</t>
  </si>
  <si>
    <t>LIVENZA TAGLIAMENTO ACQUE S.P.A.</t>
  </si>
  <si>
    <t xml:space="preserve"> FATTURA ACQUA N.44626/C DEL 27/10/2022 - IMP.VI BACINO - CONTRATTO N. 18121 - PERIODO 27/05/2022 - 20/09/2022</t>
  </si>
  <si>
    <t>Centro di costo 360/002/002 - 2022 - Abbonamenti annuali a quotidiani, periodici e riviste tecniche</t>
  </si>
  <si>
    <t>Rinnovo abbonamento La Nuova Venezia (IVA)</t>
  </si>
  <si>
    <t>GEDI DIGITAL SRL</t>
  </si>
  <si>
    <t>2007_1596</t>
  </si>
  <si>
    <t>Rinnovo abbonamento La Nuova Venezia</t>
  </si>
  <si>
    <t>Messa fuori servizio cabina (giroconto IVA)</t>
  </si>
  <si>
    <t>ALTRE PARTITE DI GIRO</t>
  </si>
  <si>
    <t>Messa fuori servizio cabina Idrovora Sette Sorelle (IVA)</t>
  </si>
  <si>
    <t>E-DISTRIBUZIONE SPA</t>
  </si>
  <si>
    <t>messa fuori servizio cabina Idrovora Sette Sorelle</t>
  </si>
  <si>
    <t>Centro di costo 310/001/007 - 2022 - Viaggio Marocco 6-13 febbraio 2023</t>
  </si>
  <si>
    <t>ALTRE SPESE PER RELAZIONI ISTITUZIONALI E COMUNICAZIONE</t>
  </si>
  <si>
    <t>Quota visita tecnica Marocco 2023 Grego, Paulon, Rossi, Furlanetto, Piazza, Pegoraro, Artico</t>
  </si>
  <si>
    <t>ASSOCIAZIONE TRIVENETA DEI DIRIGENTI DELLA BONIFICA</t>
  </si>
  <si>
    <t>IT64J0103036241000000509325</t>
  </si>
  <si>
    <t>NOTA</t>
  </si>
  <si>
    <t>Centro di costo 380/002/001 - 2023 - CIG: - Canoni ponti radio 2023</t>
  </si>
  <si>
    <t>I) prat. nr. 51171/ANG II) anno 2023 - contributo esercizio collegamento ponte radio uso privato</t>
  </si>
  <si>
    <t>TESORERIA PROVINCIALE DELLO STATO DI VITERBO</t>
  </si>
  <si>
    <t>IT08C0760103200000011026010</t>
  </si>
  <si>
    <t>MAIL</t>
  </si>
  <si>
    <t>I) prat. nr. 307727/ANG II) anno 2023 - contributo esercizio collegamento ponte radio uso privato</t>
  </si>
  <si>
    <t>Centro di costo 425/005/003 - 2022 - CIG:YB2380AF33 - Fornitura n.50 cassette portachiavi per gli impianti consorziali</t>
  </si>
  <si>
    <t>YB2380AF33</t>
  </si>
  <si>
    <t>CIG:YB2380AF33 - Fornitura n.50 cassette portachiavi per gli impianti consorziali (Q.P.Fattura)</t>
  </si>
  <si>
    <t>T.E.M. ELETTROMECCANICA S.R.L.</t>
  </si>
  <si>
    <t>IT24T0503453510000000012367</t>
  </si>
  <si>
    <t>2/SP</t>
  </si>
  <si>
    <t>CIG:YB2380AF33-Y083943FB2 - Fornitura n.50 cassette portachiavi per gli impianti consorziali</t>
  </si>
  <si>
    <t>IVA22</t>
  </si>
  <si>
    <t xml:space="preserve">IVA su fattura pagata con mandato n.34/2023 </t>
  </si>
  <si>
    <t>Centro di costo 420/004/013 - 2022 - CIG: - Integrazione fornitura chiavi master cassette portachiavi</t>
  </si>
  <si>
    <t>Y083943FB2</t>
  </si>
  <si>
    <t>CIG:Y083943FB2 - Integrazione fornitura chiavi master cassette portachiavi (Q.P.Fattura)</t>
  </si>
  <si>
    <t>Centro di costo 425/001/028 - 2022 - CIG:YAF37B965E - Fornitura ed installazione ricambi su Gruppi Elettrogeni installati sugli impianti Jeoslo 1o bacino e Cortellazzo</t>
  </si>
  <si>
    <t>YAF37B965E</t>
  </si>
  <si>
    <t>CIG:YAF37B965E - Fornitura ed installazione ricambi su gruppi elettrogeni installati sugli impianti Jesolo 1^ bacino e Cortellazzo</t>
  </si>
  <si>
    <t>STARPOWER S.R.L.</t>
  </si>
  <si>
    <t>IT91M0503466360000000020482</t>
  </si>
  <si>
    <t>326/IT</t>
  </si>
  <si>
    <t xml:space="preserve">IVA su fattura pagata con mandato n.36/2023 </t>
  </si>
  <si>
    <t>Centro di costo 454/004/001 - 2022 - Fornitura energia elettrica necessaria all'esercizio dei magazzini e delle case di servizio</t>
  </si>
  <si>
    <t>813283970D</t>
  </si>
  <si>
    <t>CIG:813283970D - fornitura energia elettrica mese 11/2022 per l'esercizio dei magazzini consorziali e impianti irrigui (q.p.)</t>
  </si>
  <si>
    <t>NOVA AEG S.P.A.</t>
  </si>
  <si>
    <t>IT92P0200805364000104380912</t>
  </si>
  <si>
    <t>IVA10</t>
  </si>
  <si>
    <t xml:space="preserve">IVA su fattura pagata con mandato n.37/2023 </t>
  </si>
  <si>
    <t>IVAO1</t>
  </si>
  <si>
    <t>Centro di costo 454/001/004 - 2022 - Fornitura energia elettrica necessaria allOesercizio degli impianti idrovori</t>
  </si>
  <si>
    <t>CIG:813283970D - Fornitura energia elettrica periodo 11/2022 esercizio impianti idrovori (q.p.)</t>
  </si>
  <si>
    <t xml:space="preserve">IVA su fattura pagata con mandato n.38/2023 </t>
  </si>
  <si>
    <t>Centro di costo 454/001/005 - 2022 - CIG:813283970D - Fornitura energia elettrica necessaria all'esercizio degli impianti idrovori</t>
  </si>
  <si>
    <t xml:space="preserve">IVA su fattura pagata con mandato n.39/2023 </t>
  </si>
  <si>
    <t xml:space="preserve"> Imposta di bollo assolta in modo virtuale ai sensi del DM 17 giugno 2014;</t>
  </si>
  <si>
    <t xml:space="preserve">IVA su fattura pagata con mandato n.40/2023 </t>
  </si>
  <si>
    <t>Centro di costo 650/004/001 - 2023 - Interessi passivi e spese annuali finanziamento Sov Crescita Plus n.994214282/2022 Banca Monte Paschi Siena per esecuzione LL.PP.</t>
  </si>
  <si>
    <t>INTERESSI PASSIVI PER AMMORTAMENTO MUTUI E PRESTITI</t>
  </si>
  <si>
    <t>Rimborso quota interessi prestito 5 milioni - 01/2023</t>
  </si>
  <si>
    <t>BANCA MONTE DEI PASCHI DI SIENA SPA</t>
  </si>
  <si>
    <t>IT86I0103036241000000550179</t>
  </si>
  <si>
    <t>Quota capitale prestito 5 milioni</t>
  </si>
  <si>
    <t>RIMBORSO QUOTE CAPITALE MUTUI E PRESTITI</t>
  </si>
  <si>
    <t>Rimborso quota capitale prestito 5 milioni - 01/2023</t>
  </si>
  <si>
    <t>Centro di costo 300/001/001 - 2023 - Retribuzioni personale uffici e personale esterno (1o quadrimestre 2023)</t>
  </si>
  <si>
    <t>RETRIBUZIONI LORDE</t>
  </si>
  <si>
    <t>Retribuzioni mese 01/2023 personale uffici-operai</t>
  </si>
  <si>
    <t>DIPENDENTI E PENSIONATI</t>
  </si>
  <si>
    <t>Centro di costo 300/003/001 - 2022 - Premio di risultato</t>
  </si>
  <si>
    <t>PREMIO DI RISULTATO IN APPLICAZIONE ACCORDI NAZIONALI ED AZIENDALI</t>
  </si>
  <si>
    <t>Premio di risultato</t>
  </si>
  <si>
    <t>Centro di costo 300/001/002 - 2022 - Indennità di trasferta e rimborsi spese personale uffici e personale esterno</t>
  </si>
  <si>
    <t>RIMBORSI SPESE AL PERSONALE</t>
  </si>
  <si>
    <t>rimb. spese trasferta e varie mese 12/2022 personale uffici-operai</t>
  </si>
  <si>
    <t>Pensioni Enpaia 2023 e liquidazione trattamento fine rapporto</t>
  </si>
  <si>
    <t>pensioni mese 01/2023</t>
  </si>
  <si>
    <t>CdC 330/001/001 - 330/002/001 - 330/003/001 - 2023 - Compensi e rimborsi ai membri dell'Assemblea, al Presidente e C.d.A, al Revisore Unico dei Conti</t>
  </si>
  <si>
    <t>compensi mese 01/2023 Presidente e Vice Presidente</t>
  </si>
  <si>
    <t>AMMINISTRATORI DIVERSI</t>
  </si>
  <si>
    <t>Rimborso spese Presidente</t>
  </si>
  <si>
    <t>Centro di costo 330/004/001 - 2022 -  Rimborso spese amministratori</t>
  </si>
  <si>
    <t>ALTRE SPESE PER GLI ORGANI DELL'ENTE</t>
  </si>
  <si>
    <t>Centro di costo 435/002/002 - 2022 - CIG:ZED3030155 - Fornitura lubrificanti e grassi</t>
  </si>
  <si>
    <t>ZED3030155</t>
  </si>
  <si>
    <t>CIG:ZED3030155 - Fornitura lubrificanti e grassi</t>
  </si>
  <si>
    <t>BE38968190860272</t>
  </si>
  <si>
    <t>ENIBBEBBXXX</t>
  </si>
  <si>
    <t xml:space="preserve">IVA su fattura pagata con mandato n.53/2023 </t>
  </si>
  <si>
    <t>Centro di costo 310/001/002 - 2022 - CIG:YB1389BEB8 - servizi comunicazione - piave tv</t>
  </si>
  <si>
    <t>YB1389BEB8</t>
  </si>
  <si>
    <t>CIG:YB1389BEB8 - Servizi comunicazione</t>
  </si>
  <si>
    <t>PIAVETV S.C.A.R.L.</t>
  </si>
  <si>
    <t>IT51B0585636240134571425176</t>
  </si>
  <si>
    <t xml:space="preserve">IVA su fattura pagata con mandato n.54/2023 </t>
  </si>
  <si>
    <t>Centro di costo 310/004/014 - 2022  - Contributo ANBI Veneto per il Festival della Bonifica</t>
  </si>
  <si>
    <t>Contributo per organizzazione Festival della Bonifica 2022</t>
  </si>
  <si>
    <t>ANBI VENETO - UNIONE REGIONALE CONSORZI DI GESTIONE E TUTELA DEL TERRITORIO E ACQUE IRRIGUE</t>
  </si>
  <si>
    <t>IT45Y0306902113100000006436</t>
  </si>
  <si>
    <t>ORD.DIRETTO 571</t>
  </si>
  <si>
    <t>Centro di costo 310/003/010 - 2022 - CIG:Y013848401 - Nolo Pianoforte per evento istituzionale sala Ronchi 15/12/2022</t>
  </si>
  <si>
    <t>Y013848401</t>
  </si>
  <si>
    <t>CIG:Y013848401 - Nolo pianoforte per evento istituzionale sala Ronchi 15/12/2022</t>
  </si>
  <si>
    <t>LONGATO PIANOFORTI SRL</t>
  </si>
  <si>
    <t>IT12M0548436280CC0690422263</t>
  </si>
  <si>
    <t xml:space="preserve">IVA su fattura pagata con mandato n.56/2023 </t>
  </si>
  <si>
    <t>Centro di costo 310/001/003 - 2021 - CIG:Y1A3728894 - Servizio di comunicazione aziendale - A 5.000,00</t>
  </si>
  <si>
    <t>Y1A3728894</t>
  </si>
  <si>
    <t>CIG:Y1A3728894 - Servizio di comunicazione aziendale</t>
  </si>
  <si>
    <t>PELLIZZARO</t>
  </si>
  <si>
    <t>CRISTIANO</t>
  </si>
  <si>
    <t>PLLCST87D29H823M</t>
  </si>
  <si>
    <t>IT46Z0835636280000000093887</t>
  </si>
  <si>
    <t>Centro di costo 320/003/007 - 2022 - CIG:Y543928566 - Acconto ricorso avanti  CTP Venezia Comune di San Donà IMU 2017</t>
  </si>
  <si>
    <t>PRESTAZIONI PROFESSIONALI, SPESE LEGALI E NOTARILI</t>
  </si>
  <si>
    <t>Y543928566</t>
  </si>
  <si>
    <t>CIG:Y543928566 - Acconto ricorso avanti  CTP Venezia Comune di San Dona' IMU 2017</t>
  </si>
  <si>
    <t>STUDIO LEGALE AVVOCATO PETRA GIACOMINI</t>
  </si>
  <si>
    <t>GCMPTR73S62G914F</t>
  </si>
  <si>
    <t>IT97X0100536240000000001392</t>
  </si>
  <si>
    <t>AVV.PARCELLA</t>
  </si>
  <si>
    <t>Ritenuta d'acconto IRPEF su compenso corrisposto su mandato n.58/2023</t>
  </si>
  <si>
    <t>Centro di costo 320/001/003 - 2022 - CIG:YA0394389F - Spese di consulenza e legali Spese di consulenza e legali ENEL spa e successivi aventi causa Avv. Cassini</t>
  </si>
  <si>
    <t>YA0394389F</t>
  </si>
  <si>
    <t>CIG:YA0394389F - Spese di consulenza e legali ENEL e successivi</t>
  </si>
  <si>
    <t>STUDIO AVVOCATO CASSINI</t>
  </si>
  <si>
    <t>CSSLRT43B15L483E</t>
  </si>
  <si>
    <t>IT64W0880512500021000001922</t>
  </si>
  <si>
    <t>Ritenuta d'acconto IRPEF su compenso corrisposto su mandato n.59/2023</t>
  </si>
  <si>
    <t>Centro di costo 380/003/018 - 2022 - CIG:Y04393A7A0 - Rinnovo annuale dei servizi di hosting e di posta elettronica</t>
  </si>
  <si>
    <t>ACQUISTO DI ALTRI SERVIZI</t>
  </si>
  <si>
    <t>Y04393A7A0</t>
  </si>
  <si>
    <t>CIG:Y04393A7A0 - Rinnovo annuale dei servizi di hosting e di posta elettronica</t>
  </si>
  <si>
    <t>RHX SRL</t>
  </si>
  <si>
    <t>IT49U0814088260000006043628</t>
  </si>
  <si>
    <t>3E-2023</t>
  </si>
  <si>
    <t xml:space="preserve">IVA su fattura pagata con mandato n.60/2023 </t>
  </si>
  <si>
    <t>Centro di costo 403/005 - 2022 - Lavori di Somma urgenza - Bacino Cavazuccherina, Impianto Idrovoro 1o Bacino Jesolo</t>
  </si>
  <si>
    <t>SPESE PER OO.PP. FINANZIATE DALLA REGIONE</t>
  </si>
  <si>
    <t>9283559B3B</t>
  </si>
  <si>
    <t>CUP:C28H22000320002 - CIG:9283559B3B - Riparazione motore Marelli 630kW e trasformazione del quadro elettrico Bt P3 con nuovo avviatore soft-starter a servizio dellOimpianto I^ bacino in Comune di Jesolo - Somma urgenza 06/2022 - C.M.1217</t>
  </si>
  <si>
    <t>MISA S.R.L.</t>
  </si>
  <si>
    <t>IT51M0511611800000000001568</t>
  </si>
  <si>
    <t>237/FE</t>
  </si>
  <si>
    <t xml:space="preserve">IVA su fattura pagata con mandato n.61/2023 </t>
  </si>
  <si>
    <t>CdC 401/001/004 (CM1001.I_A 655,01) - 401/017/007 (A1_A 14.212,63)  401/018/003 (A2_A 9.554,31) - 401/013/005 (B1_A 48.528,18) - 401/016/005 (B4_A 30.924,72) - 395/013/002 (CM 1056_A 45.809,93) - 395/012/003 (CM1183_A 2.289,26) - Compensazione dei prezzi ex art. 1- septies, del decreto-legge 25 maggio 2021, n. 73 (convertito con legge 23/7/2021, n.106) - lavori 1o sem. 2021 - rif lavori PSRN 2014-2020-DM_Inf.Reg.Decreti.R.0000322 del 25/05/2022 del Dip.oo.pp., le politiche abitative ed urbane, le infrastrutture idriche e le risorse umane e strumentali - Ministero</t>
  </si>
  <si>
    <t>SPESE PER OO.PP. FINANZIATE DALLO STATO</t>
  </si>
  <si>
    <t>8147657B3F</t>
  </si>
  <si>
    <t>CUP:C83H19000070001 - CIG:8147657B3F - Compensazione prezzi 2^ semestre 2021 (ex art.1 - septies del decreto-legge 25/05/2021 n.73) ricostruzione scarpate canale Brian - Piano Nazionale per la mitigazione del rischio idrogeologico, il ripristino e la tutela della risorsa ambientale - Cod.ReNDiS 05IR012/G9 - Cod.misura PGRA ITR51 2VDS 025 M33 -  DPCM 20/02/2019 - CM 1171</t>
  </si>
  <si>
    <t>INNOTEC S.R.L.</t>
  </si>
  <si>
    <t>IT68K0200836282000007039533</t>
  </si>
  <si>
    <t>01/01/0000029</t>
  </si>
  <si>
    <t xml:space="preserve">IVA su fattura pagata con mandato n.62/2023 </t>
  </si>
  <si>
    <t>CUP:C43H19000190005 - CIG:8204479640 - Compensazione prezzi 2^ semestre 2021 (ex art.1 - septies del decreto-legge 25/05/2021 n.73) adeguamento funzionale ed installazione sgrigliatori su impianti idrovori Sindacale e Sant'Osvaldo Sussidiario - CM 1172</t>
  </si>
  <si>
    <t>IN.TE.SE. COSTRUZIONI D'ACCIAIO S.R.L.</t>
  </si>
  <si>
    <t>IT28K0503402072000000010622</t>
  </si>
  <si>
    <t>FDI00001262022</t>
  </si>
  <si>
    <t xml:space="preserve">IVA su fattura pagata con mandato n.63/2023 </t>
  </si>
  <si>
    <t>CIG:Z93262C7AD - Sistemazione straordinaria strade consorziali (fossi di scarico e sede stradale)</t>
  </si>
  <si>
    <t>SPESE PER OO.PP. FINANZIATE DA ALTRI SOGGETTI</t>
  </si>
  <si>
    <t>Z93262C7AD</t>
  </si>
  <si>
    <t>I.R.S. S.R.L. IMPRESA RISANAMENTI STRADALI</t>
  </si>
  <si>
    <t>IT33Y0835636240000000087513</t>
  </si>
  <si>
    <t xml:space="preserve">IVA su fattura pagata con mandato n.64/2023 </t>
  </si>
  <si>
    <t>Centro di costo 440/001/050 - 2022 - CIG:Y2A3855FE5 - Fornitura  ricambi per la riparazione della macchina operatrice Energreen Alpha -</t>
  </si>
  <si>
    <t>Y2A3855FE5</t>
  </si>
  <si>
    <t>CIG:Y2A3855FE5 - Fornitura  ricambi per la riparazione della macchina operatrice Energreen Alpha</t>
  </si>
  <si>
    <t>ENERGREEN S.P.A.</t>
  </si>
  <si>
    <t>IT43L0873260650000000513510</t>
  </si>
  <si>
    <t>233/I</t>
  </si>
  <si>
    <t xml:space="preserve">IVA su fattura pagata con mandato n.65/2023 </t>
  </si>
  <si>
    <t>CdC 417/004/008 - 425/003/001 - 470/001/008 - 2022 - CIG:YE73440136  - Lavori di opere civili su manufatti e impianti idrovori</t>
  </si>
  <si>
    <t>YE73440136</t>
  </si>
  <si>
    <t>CIG:YE73440136  - Lavori di opere civili su manufatti e impianti idrovori</t>
  </si>
  <si>
    <t>VAZZOLER NICOLA SRL</t>
  </si>
  <si>
    <t>IT17E0585661860114571454311</t>
  </si>
  <si>
    <t xml:space="preserve">IVA su fattura pagata con mandato n.66/2023 </t>
  </si>
  <si>
    <t>Centro di costo 470/001/018 - 2022 - CIG:Y6C388EAF8 - Intervento di sostituzione pompa a servizio circuito ventilconvettori impianto termotecnico sede di Portogruaro</t>
  </si>
  <si>
    <t>MANUTENZIONE DI FABBRICATI</t>
  </si>
  <si>
    <t>Y6C388EAF8</t>
  </si>
  <si>
    <t>CIG:Y6C388EAF8 - Intervento sostituzione pompa a servizio circuito ventilconvettori impianto termotecnico sede Portogruaro</t>
  </si>
  <si>
    <t>SG TECNOSERVIZI S.N.C. DI SANTIN FRANCO &amp; C.</t>
  </si>
  <si>
    <t>IT71A0306936243100000013767</t>
  </si>
  <si>
    <t>V10000453</t>
  </si>
  <si>
    <t xml:space="preserve">IVA su fattura pagata con mandato n.67/2023 </t>
  </si>
  <si>
    <t>Centro di costo 375/001/004 - 2022 - CIG:9291037647 - Servizio di pulizia delle sedi consorziali site nei Comuni di Portogruaro e San Donà di Piave (mesi di Ott.-Nov.-Dic.'2022)</t>
  </si>
  <si>
    <t>CIG:9291037647 - servizio pulizia sedi Portogruaro e S.Dona' di Piave mese 12/2022</t>
  </si>
  <si>
    <t>QUALITAS S.R.L. SOCIETA' BENEFIT UNIPERSONALE</t>
  </si>
  <si>
    <t>IT17U0306936243100000047025</t>
  </si>
  <si>
    <t>91/A</t>
  </si>
  <si>
    <t xml:space="preserve">IVA su fattura pagata con mandato n.68/2023 </t>
  </si>
  <si>
    <t>Centro di costo 300/006/001 - 2022 - CIG:8768590560 - Affidamento  servizio sostitutivo di mensa aziendale reso al personale dipendente mediante buoni pasto in forma elettronica</t>
  </si>
  <si>
    <t>CIG:8768590560 - somministrazione pasti personale dipendente mese 12/2022 (Q.P.Fattura)</t>
  </si>
  <si>
    <t>EDENRED ITALIA SRL</t>
  </si>
  <si>
    <t>IT32X0538701615000042205737</t>
  </si>
  <si>
    <t>M86340</t>
  </si>
  <si>
    <t>CIG:8768590560 - somministrazione pasti personale dipendente mese 12/2022</t>
  </si>
  <si>
    <t>IVA4</t>
  </si>
  <si>
    <t xml:space="preserve">IVA su fattura pagata con mandato n.69/2023 </t>
  </si>
  <si>
    <t>CdC 300/006/001 - 2023 - CIG:8768590560 - Affidamento  servizio sostitutivo di mensa aziendale reso al personale dipendente mediante buoni pasto in forma elettronica Biennio 2021-2022 - Ditta:Edenred Italia Srl - (Q.ta biennio A 241.800,00)</t>
  </si>
  <si>
    <t>Centro di costo 310/003/002 - 2022 - CIG:YD938A966B - Strenne natalizie</t>
  </si>
  <si>
    <t>SPESE DI RAPPRESENTANZA</t>
  </si>
  <si>
    <t>YD938A966B</t>
  </si>
  <si>
    <t>CIG:YD938A966B - Fornitura bottiglie di vino per confezionamento strenne natalizie</t>
  </si>
  <si>
    <t>VI.V.O. CANTINE S.A.C.</t>
  </si>
  <si>
    <t>IT34R0708436140000000006661</t>
  </si>
  <si>
    <t>V0/2872/22</t>
  </si>
  <si>
    <t>Centro di costo 580/001/001 - 2022 - CIG:YA735F1D5E - Operazioni colturali Podere Fiorentina annata agraria 2022</t>
  </si>
  <si>
    <t>ALTRI ONERI DIVERSI DI GESTIONE</t>
  </si>
  <si>
    <t>YA735F1D5E</t>
  </si>
  <si>
    <t>DIRETTORE AREA AGRARIA AMBIENTALE</t>
  </si>
  <si>
    <t>CIG:YA735F1D5E - Operazioni colturali Podere Fiorentina annata agraria 2022</t>
  </si>
  <si>
    <t>CARNIELETTO</t>
  </si>
  <si>
    <t>GIULIANO</t>
  </si>
  <si>
    <t>CRNGLN64M17C422I</t>
  </si>
  <si>
    <t>IT14A0503436310000000000022</t>
  </si>
  <si>
    <t xml:space="preserve">IVA su fattura pagata con mandato n.72/2023 </t>
  </si>
  <si>
    <t>Servizi assicurativi anno 2020 - CdC 600/001/001:(CIG 8085132DFB) - 600/002/003:(CIG 8085160519) - 600/003/001:(CIG 8085233158) - 600/002/002:(CIG 8085249E88) - 600/004/001:(CIG 8085296554) - 600/004/002:(CIG 80853333DD) - 600/001/001:(CIG 808535887D) - 600/001/002 (CIG:80853734DF)</t>
  </si>
  <si>
    <t>CIG:8085233158 - Premi assicurativi Appendici RC patrimoniale figure progettista e verificatore progetti CM.1182 - 1210 - 1219 - 1191</t>
  </si>
  <si>
    <t>IT60Z0306913098100000000479</t>
  </si>
  <si>
    <t>AVV.SCADENZA</t>
  </si>
  <si>
    <t>Premio appendice RC patrimoniale progetto CM.1182 - Polizza XL Catlin n.K19IT018113</t>
  </si>
  <si>
    <t>Premio appendice RC patrimoniale progetto CM.1210 - Polizza XL Catlin n.K19IT018113</t>
  </si>
  <si>
    <t>Premio appendice RC patrimoniale progetto CM.1219 - Polizza XL Catlin n.K19IT018113</t>
  </si>
  <si>
    <t>Premio appendice RC patrimoniale progetto CM.1191 - Polizza XL Catlin n.K19IT018113</t>
  </si>
  <si>
    <t>Centro di costo 600/001/001 - 2023 - Assicurazione ALL RISKS del patrimonio mobiliare ed immobiliare dell'Ente</t>
  </si>
  <si>
    <t>95703255C4</t>
  </si>
  <si>
    <t>CIG:95703255C4 - Premio 31/12/2022-31/12/2023 polizza XL Catlin n.IT00027824PR All Risks beni immobili e mobili</t>
  </si>
  <si>
    <t>Premio 31/12/2022-31/12/2023 polizza XL Catlin n.IT00027824PR All Risks beni immobili e mobili</t>
  </si>
  <si>
    <t>CIG:8085296554 - Premi assicurativi proroga semestrale coperture assicurative RCT/RCO,RC polizza Flotta, Tutela Legale, RC patrimoniale,Cyber Risks,infortuni,apparecchiature elettroniche,kasko missione</t>
  </si>
  <si>
    <t>Proroghe al 30/06/2023 polizze assicurative RCT/RCO,RC mezzi, Tutela legale, Rc Patrimoniale, Kasko in missione,Cyber Risk, Infortuni,</t>
  </si>
  <si>
    <t>Servizi assicurativi anno 2021 - CdC 600/001/001:(CIG 80853588TD) 600/001/002:(CIG 80853734DF) 600/001/003:(CIG ZC0302C13D) 600/001/004:(CIG Z71302AEE3 ) 600/002/001:(CIG 8085132DF8) 600/002/002:(CIG 8085249E88) 600/002/003:(CIG 8085160519) 600/002/004:(CIG ZC2EAA853)  600/002/005:(CIG   )  600/003/001:(CIG 8085233158)  600/004/001:(CIG 8085296554)  600/004/002:(CIG 80853333DD)</t>
  </si>
  <si>
    <t>Premio 31/12/2022-31/12/2023 RC motore marino matr.6BX1021735</t>
  </si>
  <si>
    <t>Servizi assicurativi anno 2023</t>
  </si>
  <si>
    <t>Z4A309E65D</t>
  </si>
  <si>
    <t>CIG:Z4A309E65D - Premio 2023 rinnovo copertura assicurativa rischi diversi decespugliatore robogreen - Polizza UnipolSai n.178434599</t>
  </si>
  <si>
    <t>Premio rinnovo copertura assicrativa rischi diversi decespugliatore robogreen - Polizza UnipolSai n.178434599</t>
  </si>
  <si>
    <t>Y5334E452D</t>
  </si>
  <si>
    <t>CIG:Y5334E452D - Premio rinnovo copertura assicurativa combinata RC n.2 droni - Polizza UnipolSai</t>
  </si>
  <si>
    <t>Premio rinnovo copertura assicurativa combinata RC n.2 droni - Polizza UnipolSai</t>
  </si>
  <si>
    <t>Centro di costo 510/001/002 - 2023 - Acquisto dati censuari di aggiornamento catasto consortile</t>
  </si>
  <si>
    <t>Acquisto dati censuari di aggiornamento catasto consortile 2^ semestre 2022</t>
  </si>
  <si>
    <t>AGENZIA DELLE ENTRATE - UFFICIO PROVINCIALE DI VENEZIA - TERRITORIO</t>
  </si>
  <si>
    <t>IT30U0760102000000025729351</t>
  </si>
  <si>
    <t>ORD.DIRETTO 48</t>
  </si>
  <si>
    <t>Centro di costo 470/001/020 - 2022 - CIG:Y2B38CFB60 - Fornitura pompa drenaggio acqua per sede di Portogruaro</t>
  </si>
  <si>
    <t>Y2B38CFB60</t>
  </si>
  <si>
    <t>CIG:Y2B38CFB60 - Fornitura pompa drenaggio acqua per sede di Portogruaro (Q.P.Fattura)</t>
  </si>
  <si>
    <t>NOSELLA DANTE S.P.A.</t>
  </si>
  <si>
    <t>IT18P0306936243074000137450</t>
  </si>
  <si>
    <t>CIG:Y2B38CFB60-YF33703DEB - Fornitura pompa drenaggio acqua per sede di Portogruaro</t>
  </si>
  <si>
    <t xml:space="preserve">IVA su fattura pagata con mandato n.81/2023 </t>
  </si>
  <si>
    <t>Centro di costo 485/005/011 - 2022 - CIG:YF33703DEB - Fornitura materiale necessario alla manutenzione dei manufatti idraulici</t>
  </si>
  <si>
    <t>YF33703DEB</t>
  </si>
  <si>
    <t>CIG:YF33703DEB - Fornitura materiale manutenzione manufatti idraulici (Q.P.Fattura)</t>
  </si>
  <si>
    <t>Centro di costo 300/007/001 - 2022 - CIG:Z6C304AB62 - Fornitura abbigliamento sorveglianti idraulici</t>
  </si>
  <si>
    <t>Z6C304AB62</t>
  </si>
  <si>
    <t>CIG:Z6C304AB62 - Fornitura abbigliamento sorveglianti idraulici</t>
  </si>
  <si>
    <t>AS S.R.L.</t>
  </si>
  <si>
    <t>IT82Z0200836241000104375509</t>
  </si>
  <si>
    <t>A3309</t>
  </si>
  <si>
    <t xml:space="preserve">IVA su fattura pagata con mandato n.83/2023 </t>
  </si>
  <si>
    <t>Centro di costo 360/001/005 - 2022 - Imp.659/2022 - CIG:Y9338E1A40 - Fornitura materiale igienico sede San Donà di Piave - Ditta:AS Srl Società Unipersonale - A 203,79</t>
  </si>
  <si>
    <t>Y9338E1A40</t>
  </si>
  <si>
    <t>CIG:Y9338E1A40 - Fornitura materiale igienico sede San Dona' di Piave</t>
  </si>
  <si>
    <t>A3869</t>
  </si>
  <si>
    <t xml:space="preserve">IVA su fattura pagata con mandato n.84/2023 </t>
  </si>
  <si>
    <t>Centro di costo 300/007/003 - 2021 - CIG:Z6C304AB62 - Fornitura vestiario sorveglianti</t>
  </si>
  <si>
    <t>CIG:Z6C304AB62 - Fornitura vestiario sorveglianti</t>
  </si>
  <si>
    <t>A3868</t>
  </si>
  <si>
    <t xml:space="preserve">IVA su fattura pagata con mandato n.85/2023 </t>
  </si>
  <si>
    <t>Centro di Costo 425/001/008 - 2022 - CIG:YE036A0D43 - Fornitura boccole e bussole in acciaio/gomma per l'elicopompa dell'impianto Baroncolo</t>
  </si>
  <si>
    <t>YE036A0D43</t>
  </si>
  <si>
    <t>CIG:YE036A0D43 - Fornitura boccole e bussole in acciaio/gomma per l'elicopompa dell'impianto Baroncolo</t>
  </si>
  <si>
    <t>ITALTECNICA S.R.L.</t>
  </si>
  <si>
    <t>IT57X0200836282000030004932</t>
  </si>
  <si>
    <t>FT/DIF/100/0005168</t>
  </si>
  <si>
    <t xml:space="preserve">IVA su fattura pagata con mandato n.86/2023 </t>
  </si>
  <si>
    <t>FT/DIF/100/0005675</t>
  </si>
  <si>
    <t>Fornitura acqua impianto S.Osvaldo Principale - Periodo 22/03-22/09/2022</t>
  </si>
  <si>
    <t>Fattura n.2022134170 del 04/11/2022 - Fornitura acqua impianto S.Osvaldo Principale - Periodo 22/03-22/09/2022</t>
  </si>
  <si>
    <t xml:space="preserve">IVA su fattura pagata con mandato n.88/2023 </t>
  </si>
  <si>
    <t>Centro di costo 460/003/001 - 2022 - CIG:YDF35744C6 - Fornitura acqua impianti idrovori</t>
  </si>
  <si>
    <t>YDF35744C6</t>
  </si>
  <si>
    <t>CIG:YDF35744C6 - Fornitura acqua imp.idr.Torre di Fine periodo 22/07-26/10/2022</t>
  </si>
  <si>
    <t>VERITAS S.P.A.</t>
  </si>
  <si>
    <t>FATTURA SERVIZIO IDRICO INTEGRATO N.810001378173 DEL 05/12/2022 - periodo 22.07-26.10.2022 Cliente: 1001012093 - Contratto: 3001442719 Servizio fornito in : VIA VALLESINA, 1  30020 ERACLEA VE Tipologia di utenza : Uso Pubblico</t>
  </si>
  <si>
    <t xml:space="preserve">IVA su fattura pagata con mandato n.90/2023 </t>
  </si>
  <si>
    <t>Centro di costo 460/002/001 - 2022 - Fornitura acqua sede operativa di San Donà di Piave</t>
  </si>
  <si>
    <t>Fornitura acqua sede operativa San Dona' di Piave - periodo 22/12/2021-28/10/2022</t>
  </si>
  <si>
    <t>FATTURA SERVIZIO IDRICO INTEGRATO N.810001402249 DEL 06/12/2022 - periodo 22.12.2021-28.10.2022 Cliente: 1000947564 - Contratto: 3001416353 Servizio fornito in : PIAZZA INDIPENDENZA, 25  30027 SAN DONA' DI PIAVE VE Tipologia di utenza : Uso Pubblico</t>
  </si>
  <si>
    <t xml:space="preserve">IVA su fattura pagata con mandato n.92/2023 </t>
  </si>
  <si>
    <t>Centro di Costo 460/003/003 - 2022 - Fornitura acqua impianti idrovori</t>
  </si>
  <si>
    <t>Fornitura acqua impianti idrovori vari anno 2022 (Q.P.)</t>
  </si>
  <si>
    <t xml:space="preserve"> SERVIZIO IDRICO INTEGRATO periodo 08.06.2021-21.07.2022 Cliente: 1001012095 - Contratto: 3001442721 Servizio fornito in : VIA TIZIANO VECELLIO, 14  30016 JESOLO VE Tipologia di utenza : Uso Pubblico</t>
  </si>
  <si>
    <t xml:space="preserve">IVA su fattura pagata con mandato n.93/2023 </t>
  </si>
  <si>
    <t xml:space="preserve"> SERVIZIO IDRICO INTEGRATO periodo 18.05.2022-11.12.2022 Cliente: 1001012087 - Contratto: 3001442713 Servizio fornito in : VIA SAN MARTINO, 14  30020 TORRE DI MOSTO VE Tipologia di utenza : Uso Pubblico</t>
  </si>
  <si>
    <t>FATTURA SERVIZIO IDRICO INTEGRATO N.810001378175 DEL 05/12/2022 - periodo 22.07.2022-26.10.2022 Cliente: 1001012097 - Contratto: 3001442723 Servizio fornito in : VIA POLLASTRONA, 4  30021 CAORLE VE Tipologia di utenza : Uso Pubblico</t>
  </si>
  <si>
    <t>FATTURA SERVIZIO IDRICO INTEGRATO N.810001385189 DEL 05/12/2022 - periodo 22.07.2022-26.10.2022 Cliente: 1000974168 - Contratto: 3001456252 Servizio fornito in : VIA CADORE, 0  30021 CAORLE VE Tipologia di utenza : Uso Pubblico</t>
  </si>
  <si>
    <t>FATTURA SERVIZIO IDRICO INTEGRATO N.810001379583 DEL 05/12/2022 - periodo 22.07.2022-26.10.2022 Cliente: 1000998020 - Contratto: 3001402151 Servizio fornito in : VIA POLLASTRONA, 7  30021 CAORLE VE Tipologia di utenza : Uso Pubblico</t>
  </si>
  <si>
    <t>FATTURA SERVIZIO IDRICO INTEGRATO N.810001393906 DEL 06/12/2022 - periodo 24.03-28.10.2022 Cliente: 1000996911 - Contratto: 3001404439 Servizio fornito in : VIA CALLE DELL' ORSO, 0  30027 SAN DONA' DI PIAVE VE Tipologia di utenza : Uso Pubblico</t>
  </si>
  <si>
    <t>FATTURA SERVIZIO IDRICO INTEGRATO N.810001393908 DEL 06/12/2022 - periodo 26.07.2022-28.10.2022 Cliente: 1000996915 - Contratto: 3001404443 Servizio fornito in : VIA E. D'ANDREA, 0  30027 SAN DONA' DI PIAVE VE Tipologia di utenza : Uso Pubblico</t>
  </si>
  <si>
    <t>FATTURA SERVIZIO IDRICO INTEGRATO N.810001378174 DEL 05/12/2022 - periodo 22.07-26.10.2022 Cliente: 1001012095 - Contratto: 3001442721 Servizio fornito in : VIA TIZIANO VECELLIO, 14  30016 JESOLO VE Tipologia di utenza : Uso Pubblico</t>
  </si>
  <si>
    <t>FATTURA SERVIZIO IDRICO INTEGRATO N.810001381373 DEL 05/12/2022 - periodo 22.07-26.10.2022 Cliente: 1000987474 - Contratto: 3001436967 Servizio fornito in : VIA PESARONA, 4  30016 JESOLO VE Tipologia di utenza : Uso Pubblico</t>
  </si>
  <si>
    <t>FATTURA SERVIZIO IDRICO INTEGRATO N.810001382199 DEL 05/12/2022 - periodo 22.07-26.10.2022 Cliente: 1000949636 - Contratto: 3001453422 Servizio fornito in : VIA VALLE ALTANEA, 201  30021 CAORLE VE Tipologia di utenza : Uso Pubblico</t>
  </si>
  <si>
    <t xml:space="preserve"> SERVIZIO IDRICO INTEGRATO N.810001390871 DEL 06/12/2022 - periodo 04.03.2022-28.10.2022 Cliente: 1001012089 - Contratto: 3001442715 Servizio fornito in : VIA CITTANOVA, 33  30027 SAN DONA' DI PIAVE VE Tipologia di utenza : Uso Pubblico</t>
  </si>
  <si>
    <t>FATTURA SERVIZIO IDRICO INTEGRATO N.810001390869 DEL 06/12/2022 - periodo 26.07-28.10.2022 Cliente: 1001012083 - Contratto: 3001442028 Servizio fornito in : VIA BELLAMADONNA, 47  30027 SAN DONA' DI PIAVE VE Tipologia di utenza : Uso Pubblico</t>
  </si>
  <si>
    <t>FATTURA SERVIZIO IDRICO INTEGRATO N.810001410628 DEL 21/12/2022 - periodo 18.05-11.12.2022 Cliente: 1000970965 - Contratto: 3001448768 Servizio fornito in : VIA TAGLIO, 1  30020 TORRE DI MOSTO VE Tipologia di utenza : Uso Pubblico</t>
  </si>
  <si>
    <t>FATTURA SERVIZIO IDRICO INTEGRATO N.810001411299 DEL 21/12/2022 - periodo 03.05-11.12.2022 Cliente: 1001012081 - Contratto: 3001442026 Servizio fornito in : VIA MILLEPERTICHE, 2  30024 MUSILE DI PIAVE VE Tipologia di utenza : Uso Pubblico</t>
  </si>
  <si>
    <t>FATTURA SERVIZIO IDRICO INTEGRATO N.810001407583 DEL 21/12/2022 - periodo 12.05-11.12.2022 Cliente: 1000977856 - Contratto: 3001450701 Servizio fornito in : VIA BASSETTE, 7  30020 NOVENTA DI PIAVE VE Tipologia di utenza : Uso Pubblico</t>
  </si>
  <si>
    <t>FATTURA SERVIZIO IDRICO INTEGRATO N.810001411301 DEL 21/12/2022 - periodo 13.05-11.12.2022 Cliente: 1001012085 - Contratto: 3001442030 Servizio fornito in : VIA DONEGAL, 8  30022 CEGGIA VE Tipologia di utenza : Uso Pubblico</t>
  </si>
  <si>
    <t>FATTURA SERVIZIO IDRICO INTEGRATO N.810001413235 DEL 21/12/2022 - periodo 14.09-11.12.2022 Cliente: 1000951736 - Contratto: 3001459876 Servizio fornito in : VIA TAGLIO, 10  30020 TORRE DI MOSTO VE Tipologia di utenza : Uso Pubblico</t>
  </si>
  <si>
    <t>FATTURA SERVIZIO IDRICO INTEGRATO N.810001422843 DEL 22/12/2022 - periodo 17.09-17.12.2022 Cliente: 1000964334 - Contratto: 3001454317 Servizio fornito in : VIA LUNGOREVEDOLI, 1  30020 ERACLEA VE Tipologia di utenza : Uso Pubblico</t>
  </si>
  <si>
    <t>Centro di costo 460/003/001 - 2023 - CIG: - Fornitura acqua impianti idrovori</t>
  </si>
  <si>
    <t>Fornitura acqua impianti idrovori Cittanova e Grassaga anno 2022 (Q.P.)</t>
  </si>
  <si>
    <t>Fornitura gas metano sede Portogruaro mese 12/2022</t>
  </si>
  <si>
    <t>Fattura n.832300261133 del 11/01/2023 - Fornitura gas metano sede Portogruaro mese 12/2022</t>
  </si>
  <si>
    <t>IVA5</t>
  </si>
  <si>
    <t xml:space="preserve">IVA su fattura pagata con mandato n.97/2023 </t>
  </si>
  <si>
    <t>Fornitura gas metano sede San Dona' di Piave mese 11/2022</t>
  </si>
  <si>
    <t>Fattura n.V120220001326816 del 13/12/2022 - Fornitura gas metano sede San Dona' di Piave mese 11/2022</t>
  </si>
  <si>
    <t>IVA su fattura pagata con mandato n.99/2023</t>
  </si>
  <si>
    <t>Pedaggi autostradali del direttore generale per ragioni di servizio periodo 15/12/2022 - 15/01/2023</t>
  </si>
  <si>
    <t>Fattura n.900002930D del 30/01/2023 - Pedaggi autostradali del direttore generale per ragioni di servizio periodo 15/12/2022 - 15/01/2023</t>
  </si>
  <si>
    <t>Centro di costo 379/003/009 - 2021 - CIG:YC834A8B57 - Acquisizione di n.4 giornata di assistenza on-line su piattaforma protocollo e finanziaria per attivazione della nuova versione software Ascot-Plus</t>
  </si>
  <si>
    <t>YC834A8B57</t>
  </si>
  <si>
    <t>CIG:YC834A8B57 - Servizi sistemistici per attivazione nuova versione software Ascot-Plus</t>
  </si>
  <si>
    <t>GPI S.P.A.</t>
  </si>
  <si>
    <t>IT24E0103001800000061119756</t>
  </si>
  <si>
    <t>014/9794</t>
  </si>
  <si>
    <t xml:space="preserve">IVA su fattura pagata con mandato n.200/2023 </t>
  </si>
  <si>
    <t>Centro di costo 690/002/001 - 2023  - Affitto sede ANBI Veneto anno 2023</t>
  </si>
  <si>
    <t>FITTI PASSIVI IMMOBILI</t>
  </si>
  <si>
    <t>acconto affitto sede Anbi Veneto anno 2023</t>
  </si>
  <si>
    <t>PROT.33</t>
  </si>
  <si>
    <t>Ritenute previdenziali e assistenziali anno 2023</t>
  </si>
  <si>
    <t>contributi su retribuzioni mese 02/2023 personale dipendente</t>
  </si>
  <si>
    <t>Centro di costo 300/007/004 - 2023 - Rimborso spese varie sostenute dal personale per ragioni di servizio</t>
  </si>
  <si>
    <t>Pedaggi autostradali del direttore generale per ragioni di servizio periodo 15/02 - 15/03/2023</t>
  </si>
  <si>
    <t>Fattura n.900007361D del 30/03/2023 - Pedaggi autostradali del direttore generale per ragioni di servizio periodo 15/02 - 15/03/2023</t>
  </si>
  <si>
    <t xml:space="preserve">IVA su fattura pagata con mandato n.500/2023 </t>
  </si>
  <si>
    <t xml:space="preserve">IVA su fattura pagata con mandato n.101/2023 </t>
  </si>
  <si>
    <t>Canone promozionale</t>
  </si>
  <si>
    <t>Fattura n.900001669T del 30/01/2023 - Canone promozionale</t>
  </si>
  <si>
    <t>IVA su fattura pagata con mandato n.103/2023</t>
  </si>
  <si>
    <t>Parcheggi del direttore generale per ragioni di servizio mese 12/2022</t>
  </si>
  <si>
    <t>PARCHEGGI ITALIA SPA</t>
  </si>
  <si>
    <t>Fattura n.157800002P del 30/01/2023 - Parcheggi del direttore generale per ragioni di servizio mese 12/2022</t>
  </si>
  <si>
    <t xml:space="preserve">IVA su fattura pagata con mandato n.105/2023 </t>
  </si>
  <si>
    <t>Centro di costo 433/001/006 - 2022 - CIG:Y713867EB3 - Fornitura carburante presso le stazioni di servizio ENI per i veicoli consorziali</t>
  </si>
  <si>
    <t>Y713867EB3</t>
  </si>
  <si>
    <t>CIG:Y713867EB3 - Fornitura carburante mezzi cons.li 1^ quindicina mese 12/2022 (Q.P.Fattura)</t>
  </si>
  <si>
    <t>Fattura n.30439568 del 19/12/2022  - CIG:Y713867EB3-Y34396418E - fornitura carburante mezzi cons.li 1^ quindicina mese 12/2022</t>
  </si>
  <si>
    <t xml:space="preserve">IVA su fattura pagata con mandato n.106/2023 </t>
  </si>
  <si>
    <t>Centro di costo 433/004/003 - 2022 - CIG:Y34396418E -  Fornitura carburante presso le stazioni di servizio ENI per i veicoli consorziali</t>
  </si>
  <si>
    <t>Y34396418E</t>
  </si>
  <si>
    <t>CIG:Y34396418E - Fornitura carburante mezzi cons.li 1^ quindicina mese 12/2022 (Q.P.Fattura)</t>
  </si>
  <si>
    <t>CIG:Y34396418E - Fornitura carburante mezzi cons.li 2^ quindicina mese 12/2022 (Q.P.Fattura)</t>
  </si>
  <si>
    <t>Fattura n.30481496 del 31/12/2022 - CIG:Y34396418E-Z8526F7EFB - Fornitura carburante mezzi cons.li 2^ quindicina mese 12/2022</t>
  </si>
  <si>
    <t xml:space="preserve">IVA su fattura pagata con mandato n.109/2023 </t>
  </si>
  <si>
    <t>CIG:Z8526F7EFB - Fornitura carburante mezzi cons.li 2^ quindicina mese 12/2022 (Q.P.Fattura)</t>
  </si>
  <si>
    <t>Centro di costo 452/002/001 - 2023 - CIG:Y0639A8334 - Servizio di noleggio a lungo termine di n. 8 autovetture per il periodo gennaio - settembre 2023</t>
  </si>
  <si>
    <t>NOLEGGI</t>
  </si>
  <si>
    <t>Y0639A8334</t>
  </si>
  <si>
    <t>CIG:Y0639A8334 - Canone noleggio Peugeot FW208EH, Panda GK321FS, GK325FS, GK334FS, GK335FS, GK809FW e Fiat Tipo GK393ZM mese 12/2022 (Q.P.Fatture)</t>
  </si>
  <si>
    <t>ALPHABET ITALIA FLEET MANAGEMENT SPA</t>
  </si>
  <si>
    <t>VG022091480</t>
  </si>
  <si>
    <t xml:space="preserve"> NOTA DI CREDITO BOLLI</t>
  </si>
  <si>
    <t xml:space="preserve">IVA su fattura pagata con mandato n.112/2023 </t>
  </si>
  <si>
    <t>VG022091479</t>
  </si>
  <si>
    <t>Fattura n.VF022238334 del 01/12/2022 - CIG:Y0639A8334-Y1A38C1B2B - canone noleggio Peugeot FW208EH, Panda GK321FS, GK325FS, GK334FS, GK335FS, GK809FW e Fiat Tipo GK393ZM mese 12/2022</t>
  </si>
  <si>
    <t>Centro di costo 452/002/007 - 2022 - CIG:Y1A38C1B2B - Noleggio a lungo termine per autovetture - periodo novembre - dicembre 2022</t>
  </si>
  <si>
    <t>Y1A38C1B2B</t>
  </si>
  <si>
    <t>CIG:Y1A38C1B2B - canone noleggio Peugeot FW208EH, Panda GK321FS, GK325FS, GK334FS, GK335FS, GK809FW e Fiat Tipo GK393ZM mese 12/2022 (Q.P.Fattura)</t>
  </si>
  <si>
    <t>CIG:Y0639A8334 - canone noleggio Peugeot GK290GD mese 12/2022</t>
  </si>
  <si>
    <t>Fattura n.VF022230725 del 01/12/2022 - CIG:Y0639A8334 - canone noleggio Peugeot GK290GD mese 12/2022</t>
  </si>
  <si>
    <t xml:space="preserve">IVA su fattura pagata con mandato n.114/2023 </t>
  </si>
  <si>
    <t>CIG:Y0639A8334 - Addebito danni rilevati a fine nolo Punto FT572YN sinistro 09/03/2022</t>
  </si>
  <si>
    <t>Fattura n.VG022068946 del 29/11/2022 - CIG:Y0639A8334 - Addebito danni rilevati a fine nolo Punto FT572YN sinistro 09/03/2022</t>
  </si>
  <si>
    <t>CIG:Y0639A8334 - canone noleggio Peugeot FW208EH, Panda GK321FS, GK325FS, GK334FS, GK335FS, GK809FW e Fiat Tipo GK393ZM mese 12/2022 (Q.P.Fattura)</t>
  </si>
  <si>
    <t>CIG:Y0639A8334 - Canone noleggio Peugeot FW208EH e Fiat Tipo GK393ZM bolli</t>
  </si>
  <si>
    <t xml:space="preserve"> FATTURA N.VG022081366 DEL 07/12/2022 - CIG:Y0639A8334 - Canone noleggio Peugeot FW208EH e Fiat Tipo GK393ZM bolli</t>
  </si>
  <si>
    <t>CIG:Y0639A8334 - Canone noleggio Panda FY662DD, FY673DD, FY685DD, FY721DD, FT710YN e Punto FT572YN bolli</t>
  </si>
  <si>
    <t xml:space="preserve"> FATTURA N.VG022081367 DEL 07/12/2022 - CIG:Y0639A8334 - Canone noleggio Panda FY662DD, FY673DD, FY685DD, FY721DD, FT710YN e Punto FT572YN bolli</t>
  </si>
  <si>
    <t>CIG:Y0639A8334 - canone noleggio Peugeot GK290GD bollo</t>
  </si>
  <si>
    <t>FATTURA N.VG022081368 DEL 07/12/2022 - CIG:Y0639A8334 - canone noleggio Peugeot GK290GD bollo</t>
  </si>
  <si>
    <t>CIG:Y0639A8334 - Canone noleggio Peugeot FW208EH,GK290GD, Panda GK321FS, GK325FS, GK334FS, GK335FS, GK809FW e Fiat Tipo GK393ZM mese 01/2023</t>
  </si>
  <si>
    <t>Fattura n.VF023003939 del 01/01/2023 - CIG:Y0639A8334 - canone noleggio Peugeot GK290GD mese 01/2023</t>
  </si>
  <si>
    <t xml:space="preserve">IVA su fattura pagata con mandato n.121/2023 </t>
  </si>
  <si>
    <t>Fattura n.VF023011750 del 01/01/2023 - CIG:Y0639A8334 - canone noleggio Peugeot FW208EH, Panda GK321FS, GK325FS, GK334FS, GK335FS, GK809FW e Fiat Tipo GK393ZM mese 01/2023</t>
  </si>
  <si>
    <t>CIG:Y0639A8334 - canone noleggio Peugeot GK290GD mese 01/2023</t>
  </si>
  <si>
    <t>CIG:Y0639A8334 - canone noleggio Peugeot FW208EH, Panda GK321FS, GK325FS, GK334FS, GK335FS, GK809FW e Fiat Tipo GK393ZM mese 01/2023</t>
  </si>
  <si>
    <t>Centro di costo 401/026 - 2022 - CM 1202_ CUP:C56G21009170002 - Ripristino di alcune importanti infiltrazioni sull'argine destro del canale brian e sull'argine sinistro del canale lugugnana vecchio/ghebo dell'argine</t>
  </si>
  <si>
    <t>9288624EFF</t>
  </si>
  <si>
    <t>CUP:C56G21009170002 - CIG:9288624EFF - 1^SAL ripristino di alcune importanti infiltrazioni argine destro canale Brian e argine sinistro canale Lugugnana vecchio/ghebo dell'argine - C.M.1202</t>
  </si>
  <si>
    <t>MILL.AR WELLPOINT S.R.L.</t>
  </si>
  <si>
    <t>IT28B0585612001137571377990</t>
  </si>
  <si>
    <t>304/2022</t>
  </si>
  <si>
    <t xml:space="preserve">IVA su fattura pagata con mandato n.124/2023 </t>
  </si>
  <si>
    <t>Centro di costo 395/016/001 - 2021 - CIG:Y1C33D2E35 - CUP:C37H19002260001_CM 1182/CBVO-214-Completamento delle opere di riqualificazione del manufatto Brian.  Affidamento del servizio di progettazione definitiva e del coordinamento della sicurezza in fase di progettazione</t>
  </si>
  <si>
    <t>Y1C33D2E35</t>
  </si>
  <si>
    <t>O.C. n.5/2019 - O.C. n.10/2021 - CBVO-214 - CUP:C37H19002260001 - CIG:Y1C33D2E35 - Saldo Servizio PD e CSP - Completamento opere di riqualificazione del manufatto Brian - OCDPC 558/2018 - C.M.1182</t>
  </si>
  <si>
    <t>ZOLLET INGEGNERIA SRL</t>
  </si>
  <si>
    <t>IT49Z0851111900000000030811</t>
  </si>
  <si>
    <t>70/FE</t>
  </si>
  <si>
    <t>OC 5/2019 - OC n.10/2021 - CBVO-214 - CUP:C37H19002260001 - CIG:Y1C33D2E35 - Saldo Servizio PD e CSP - Completamento opere di riqualificazione del manufatto Brian - OCDPC 558/2018 - C.M.1182</t>
  </si>
  <si>
    <t xml:space="preserve">IVA su fattura pagata con mandato n.125/2023 </t>
  </si>
  <si>
    <t>Centro di costo 395/007/001 - 2023 - CIG:79873666EF - CM1169_ CUP C33H19000030001_CBVO_N07 Litoranea Veneta: Ripristino funzionalità e riqualificazione manufatto Brian - OCDPC 558/2018 e 769/21 - O.C. n. 05 del 02/04/2019 - Trasporto e posa porte vinciane</t>
  </si>
  <si>
    <t>79873666EF</t>
  </si>
  <si>
    <t>O.C.05 del 02/04/19 - CBVO_N07 - CUP:C33H19000030001 - CIG:79873666EF - Trasporto e posa porte vinciane - Litoranea Veneta - Ripristino funzionalita' e riqualificazione manufatto Brian - eventi meteorologici 27/10-05/11/2018 - OCDPC n. 558/2018 - OCDPC 836/2022 - C.M.1169</t>
  </si>
  <si>
    <t>ANESE S.R.L.</t>
  </si>
  <si>
    <t>IT45D0890436240049001000024</t>
  </si>
  <si>
    <t>01/01/0000326</t>
  </si>
  <si>
    <t xml:space="preserve">IVA su fattura pagata con mandato n.126/2023 </t>
  </si>
  <si>
    <t>Centro di costo 467/002/002 - 2022 - CIG:Y4834D90BF - Servizio di manutenzione semestrale estintori portatili impianti, sedi e mezzi</t>
  </si>
  <si>
    <t>Y4834D90BF</t>
  </si>
  <si>
    <t>CIG:Y4834D90BF - Servizio di manutenzione semestrale estintori portatili impianti, sedi e mezzi</t>
  </si>
  <si>
    <t>FIRE DI GUADAGNIN PATRIZIO</t>
  </si>
  <si>
    <t>GDGPRZ60T12L677K</t>
  </si>
  <si>
    <t>IT79Y0538761860000035333859</t>
  </si>
  <si>
    <t xml:space="preserve">IVA su fattura pagata con mandato n.127/2023 </t>
  </si>
  <si>
    <t>Centro di costo 395/012/004 - 2022 - CM 1183_ CUP:J13H19001190001 - Completamento delle opere di salvaguardia del centro abitato di Gruaro argini Versiola - OCDP 558/2018 - Ord. Commiss. Deleg. N.4/21.04.2020 - saldo indennizzi per esproprio, occupazioni temporanee e danni, spese pubblicazione sul BUR e di notifica dei decreti di esproprio</t>
  </si>
  <si>
    <t>O.C.04 del 21/04/2020 - CBVO-3-2020 - CUP: J13H19001190001 - Saldo indennita' occupazione permanente realizzazione canale collegamento tra Roggia Versiola e fiume Lemene completamento delle opere di salvaguardia del centro abitato di Gruaro argini Versiola - OCDP 558/2018 - Tempesta Vaia - C.M.1183</t>
  </si>
  <si>
    <t>BIASIN</t>
  </si>
  <si>
    <t>ANTONINO</t>
  </si>
  <si>
    <t>BSNNNN55P24E215J</t>
  </si>
  <si>
    <t>IT68J0890436350047000740082</t>
  </si>
  <si>
    <t>CERT.PAG.SALDO</t>
  </si>
  <si>
    <t>O.C.04 del 21/04/2020 - CBVO-3-2020 - CUP: J13H19001190001 - Indennita' occupazione temporanea realizzazione canale collegamento tra Roggia Versiola e fiume Lemene completamento delle opere di salvaguardia del centro abitato di Gruaro argini Versiola - OCDP 558/2018 - Tempesta Vaia - C.M.1183</t>
  </si>
  <si>
    <t>CERT.PAG.DANNI</t>
  </si>
  <si>
    <t>CHIAROTTO</t>
  </si>
  <si>
    <t>LUCIANO</t>
  </si>
  <si>
    <t>CHRLCN57C21Z401G</t>
  </si>
  <si>
    <t>IT87K0200865010000103804912</t>
  </si>
  <si>
    <t>O.C.04 del 21/04/2020 - CBVO-3-2020 - CUP: J13H19001190001 - Indennita' occupazione permanente realizzazione canale collegamento tra Roggia Versiola e fiume Lemene completamento delle opere di salvaguardia del centro abitato di Gruaro argini Versiola - OCDP 558/2018 - Tempesta Vaia - C.M.1183</t>
  </si>
  <si>
    <t>FANTIN</t>
  </si>
  <si>
    <t>SERGIO</t>
  </si>
  <si>
    <t>FNTSRG63E22I403A</t>
  </si>
  <si>
    <t>IT56V0306965015100000004983</t>
  </si>
  <si>
    <t>O.C.04 del 21/04/2020 - CBVO-3-2020 - CUP: J13H19001190001 - indennita' occupazione temporanea realizzazione canale collegamento tra Roggia Versiola e fiume Lemene completamento delle opere di salvaguardia del centro abitato di Gruaro argini Versiola - OCDP 558/2018 - Tempesta Vaia - C.M.1183</t>
  </si>
  <si>
    <t>FREGONESE</t>
  </si>
  <si>
    <t>PAOLA</t>
  </si>
  <si>
    <t>FRGPLA59M46A530K</t>
  </si>
  <si>
    <t>IT83N0890436380048002011206</t>
  </si>
  <si>
    <t>TONEGUZZO SERGIO E BIN CARLA</t>
  </si>
  <si>
    <t>TNGSRG41A18C993O</t>
  </si>
  <si>
    <t>IT36H0200864860000002629116</t>
  </si>
  <si>
    <t>O.C.04 del 21/04/2020 - CBVO-3-2020 - CUP: J13H19001190001 - indennita' occupazione temporanea, abbattimento piante e perdita frutti pendenti realizzazione canale collegamento tra Roggia Versiola e fiume Lemene completamento delle opere di salvaguardia del centro abitato di Gruaro argini Versiola - OCDP 558/2018 - Tempesta Vaia - C.M.1183</t>
  </si>
  <si>
    <t>BAGNAROL ANGELICA, GERARDUZ LUCIANO, GERARDUZ MARIA ROSA, GERARDUZ SERGIO</t>
  </si>
  <si>
    <t>BGNNLC34T42B940C</t>
  </si>
  <si>
    <t>IT06B0835665010000000066565</t>
  </si>
  <si>
    <t>O.C.04 del 21/04/2020 - CBVO-3-2020 - CUP: J13H19001190001 - indennita' occupazione temporanea e perdita frutti pendenti realizzazione canale collegamento tra Roggia Versiola e fiume Lemene completamento delle opere di salvaguardia del centro abitato di Gruaro argini Versiola - OCDP 558/2018 - Tempesta Vaia - C.M.1183</t>
  </si>
  <si>
    <t>AZIENDA AGRICOLA DEFEND LAURA</t>
  </si>
  <si>
    <t>DFNLRA71H69L682W</t>
  </si>
  <si>
    <t>IT48R0880565011016000000805</t>
  </si>
  <si>
    <t>O.C.04 del 21/04/2020 - CBVO-3-2020 - CUP: J13H19001190001 - indennita' occupazione temporaneae perdita frutti pendenti realizzazione canale collegamento tra Roggia Versiola e fiume Lemene completamento delle opere di salvaguardia del centro abitato di Gruaro argini Versiola - OCDP 558/2018 - Tempesta Vaia - C.M.1183</t>
  </si>
  <si>
    <t>MEZZAVILLA</t>
  </si>
  <si>
    <t>PATRIZIA</t>
  </si>
  <si>
    <t>MZZPRZ63C57Z401L</t>
  </si>
  <si>
    <t>IT44C0760102000001059362713</t>
  </si>
  <si>
    <t>CERT.PAGAMENTO</t>
  </si>
  <si>
    <t>CARENZA GIUSEPPE E  VIGNANDEL LUCIANA</t>
  </si>
  <si>
    <t>CRNGPP61S23L472F</t>
  </si>
  <si>
    <t>IT68J0623064810000015178718</t>
  </si>
  <si>
    <t>COASSIN MARIA LETIZIA E SIGALOTTI UMBERTO</t>
  </si>
  <si>
    <t>CSSMLT45B46I686T</t>
  </si>
  <si>
    <t>IT86U0760112500000072883887</t>
  </si>
  <si>
    <t>BRUSSOLO</t>
  </si>
  <si>
    <t>ADRIANA</t>
  </si>
  <si>
    <t>BRSDRN68H50I403T</t>
  </si>
  <si>
    <t>IT85K0835665010000000079468</t>
  </si>
  <si>
    <t>CERVESATO MARIELLA, BRUSSOLO SAMANTA, BRUSSOLO SARA</t>
  </si>
  <si>
    <t>CRVMLL58C71F750Q</t>
  </si>
  <si>
    <t>IT61T0880565020014000014107</t>
  </si>
  <si>
    <t>CERVESATO MARIELLA, BRUSSOLO ADRIANA, BRUSSOLO SAMANTA, BRUSSOLO SARA</t>
  </si>
  <si>
    <t>VARIOLA</t>
  </si>
  <si>
    <t>MARIA LUISA</t>
  </si>
  <si>
    <t>VRLMLS45P43I686J</t>
  </si>
  <si>
    <t>IT65S0880565020014000002226</t>
  </si>
  <si>
    <t>PINOS ROBERTA E COLUSSI ANGELINA</t>
  </si>
  <si>
    <t>PNSRRT55S60E215C</t>
  </si>
  <si>
    <t>IT68C0538712500000036428505</t>
  </si>
  <si>
    <t>ODORICO</t>
  </si>
  <si>
    <t>MAICO</t>
  </si>
  <si>
    <t>DRCMCA67P22Z700R</t>
  </si>
  <si>
    <t>IT06I0623065010000015056175</t>
  </si>
  <si>
    <t>OSTAN</t>
  </si>
  <si>
    <t>LORENZO</t>
  </si>
  <si>
    <t>STNLNZ75A20E473E</t>
  </si>
  <si>
    <t>IT10Z0307502200CC8500622047</t>
  </si>
  <si>
    <t>DELLE VEDOVE</t>
  </si>
  <si>
    <t>AMEDEO</t>
  </si>
  <si>
    <t>DLLMDA25R26E215V</t>
  </si>
  <si>
    <t>IT43F0890436380048002010962</t>
  </si>
  <si>
    <t>PASCHETTO GIORDANO E PELLEGRIN ROSELLA</t>
  </si>
  <si>
    <t>PSCGDN49R13E215F</t>
  </si>
  <si>
    <t>IT29G0200864860000011121908</t>
  </si>
  <si>
    <t>TESOLAT</t>
  </si>
  <si>
    <t>GRAZIELLA</t>
  </si>
  <si>
    <t>TSLGZL52P56I403I</t>
  </si>
  <si>
    <t>IT59L0533665010000030210739</t>
  </si>
  <si>
    <t>COVASSIN</t>
  </si>
  <si>
    <t>ALESSANDRA</t>
  </si>
  <si>
    <t>CVSLSN52E46F750P</t>
  </si>
  <si>
    <t>IT13M0880565011016000003112</t>
  </si>
  <si>
    <t>AZIENDA AGRICOLA LELLO ODDONE S.S.</t>
  </si>
  <si>
    <t>IT90Y0890436380048000019492</t>
  </si>
  <si>
    <t>SEVERINO</t>
  </si>
  <si>
    <t>BRSSRN47P11I686E</t>
  </si>
  <si>
    <t>IT57F0200865010000001543036</t>
  </si>
  <si>
    <t>Centro di costo 380/002/008 - 2021 - CIG:88716003EB - Telefonia mobile - Convenzione 8 - Quota Canoni 6/2021 - Ingresso nuova convenzione</t>
  </si>
  <si>
    <t>88716003EB</t>
  </si>
  <si>
    <t>CIG:88716003EB - Canone gruppo linee cellulari ed apparati in Convenzione 8 - 1^ bim.2023</t>
  </si>
  <si>
    <t>TELECOM ITALIA S.P.A.</t>
  </si>
  <si>
    <t>IT33P0200809440000010138517</t>
  </si>
  <si>
    <t>7X05232669</t>
  </si>
  <si>
    <t xml:space="preserve">IVA su fattura pagata con mandato n.169/2023 </t>
  </si>
  <si>
    <t>Centro di costo 380/002/008 - 2022  - CIG: -  Spese di telefonia mobile - Quota Bimestre</t>
  </si>
  <si>
    <t>79805015C2</t>
  </si>
  <si>
    <t>CIG:79805015C2 - bollette telefonia mobile 1^ bim.2023</t>
  </si>
  <si>
    <t>7X05246528</t>
  </si>
  <si>
    <t>CIG:79805015C2 - bollette telefonia mobile 1^ bim. 2023</t>
  </si>
  <si>
    <t xml:space="preserve">IVA su fattura pagata con mandato n.170/2023 </t>
  </si>
  <si>
    <t>contributi sindacali 2022</t>
  </si>
  <si>
    <t>contributi sindacali 2^ semestre 2022</t>
  </si>
  <si>
    <t>FILBI - UIL</t>
  </si>
  <si>
    <t>IT87O0306909606100000125107</t>
  </si>
  <si>
    <t>FAI - CISL</t>
  </si>
  <si>
    <t>IT57K0306902102000000422188</t>
  </si>
  <si>
    <t>FLAI - CGIL</t>
  </si>
  <si>
    <t>IT44D0306902101000001085060</t>
  </si>
  <si>
    <t>FEDERMANAGER - SINDICOB</t>
  </si>
  <si>
    <t>IT77F0306902117074000445750</t>
  </si>
  <si>
    <t>Saldo contributi 2022 personale uffici-operai</t>
  </si>
  <si>
    <t>Centro di costo 440/001/065 - 2022 - CIG:Y7B3940A5F - Fornitura ricambi necessari alla manutenzione dei mezzi d'opera (Energreen trattori, escavatori)</t>
  </si>
  <si>
    <t>Y7B3940A5F</t>
  </si>
  <si>
    <t>CIG:Y7B3940A5F - Fornitura ricambi necessari alla manutenzione dei mezzi d'opera (Q.P.Fattura)</t>
  </si>
  <si>
    <t>CASA DEL TRATTORE CAV UFF. G.MARZINOTTO S.R.L.</t>
  </si>
  <si>
    <t>IT90E0306936243100000009348</t>
  </si>
  <si>
    <t>001356/D</t>
  </si>
  <si>
    <t>CIG:Y7B3940A5F-Y4138C1BE0 - Fornitura ricambi necessari alla manutenzione dei mezzi d'opera e trincia Osma</t>
  </si>
  <si>
    <t xml:space="preserve">IVA su fattura pagata con mandato n.176/2023 </t>
  </si>
  <si>
    <t>Centro di costo 440/001/053 - 2022 - CIG:Y4138C1BE0 - Fornitura ricambi per la trincia Osma e per trattori</t>
  </si>
  <si>
    <t>Y4138C1BE0</t>
  </si>
  <si>
    <t>CIG:Y4138C1BE0 - Fornitura ricambi per la trincia Osma e per trattori (Q.P.Fattura)</t>
  </si>
  <si>
    <t>Centro di costo 445/003/001 - 2022 - CIG:Y8E37020BC - Fornitura scala a norma su cassone autocarro Iveco</t>
  </si>
  <si>
    <t>Y8E37020BC</t>
  </si>
  <si>
    <t>CIG:Y8E37020BC - Fornitura scala a norma su cassone autocarro Iveco</t>
  </si>
  <si>
    <t>001368/D</t>
  </si>
  <si>
    <t xml:space="preserve">IVA su fattura pagata con mandato n.178/2023 </t>
  </si>
  <si>
    <t>CIG:Y7B3940A5F - Fornitura ricambi necessari alla manutenzione dei mezzi d'opera</t>
  </si>
  <si>
    <t>001370/D</t>
  </si>
  <si>
    <t xml:space="preserve">IVA su fattura pagata con mandato n.179/2023 </t>
  </si>
  <si>
    <t>001371/D</t>
  </si>
  <si>
    <t>Centro di costo 452/002/003 - 2022 - CIG:Y323597704 - Servizio di noleggio a lungo termine di n. 1 Fiat Doblò 1.3 FX087YB anno 2022</t>
  </si>
  <si>
    <t>Y323597704</t>
  </si>
  <si>
    <t>CIG:Y323597704 - Canone noleggio Doblo' Cargo FX087YB mesi 11-12/2022</t>
  </si>
  <si>
    <t>LEASYS S.P.A.</t>
  </si>
  <si>
    <t>IT96P0200809440000500014931</t>
  </si>
  <si>
    <t>CIG:Y323597704 - Canone noleggio Doblo' Cargo FX087YB mese 11/2022</t>
  </si>
  <si>
    <t xml:space="preserve">IVA su fattura pagata con mandato n.180/2023 </t>
  </si>
  <si>
    <t>CIG:Y323597704 - Canone noleggio Doblo' Cargo FX087YB mese 12/2022</t>
  </si>
  <si>
    <t>Centro di costo 452/002/006 - 2022 - CIG:Y7638A8E5D - Noleggio a lungo termine per n.3 autovetture Fiat Panda - anno 2022</t>
  </si>
  <si>
    <t>Y7638A8E5D</t>
  </si>
  <si>
    <t>CIG:Y7638A8E5D - Canone noleggio e quote bollo Panda FW513MA - FW532MA - FW658LZ mesi 11-12/2022</t>
  </si>
  <si>
    <t>LEASE PLAN ITALIA S.P.A.</t>
  </si>
  <si>
    <t>IT97F0306901629100000019893</t>
  </si>
  <si>
    <t>CIG:Y7638A8E5D - Canone noleggio Panda FW513MA - FW532MA - FW658LZ mese 11/2022</t>
  </si>
  <si>
    <t xml:space="preserve">IVA su fattura pagata con mandato n.181/2023 </t>
  </si>
  <si>
    <t>CIG:Y7638A8E5D - Quota bollo noleggio Panda FW513MA - FW532MA - FW658LZ mese 11/2022</t>
  </si>
  <si>
    <t>CIG:Y7638A8E5D - Canone noleggio Panda FW513MA - FW532MA - FW658LZ mese 12/2022</t>
  </si>
  <si>
    <t>CIG:Y7638A8E5D - Quota bollo noleggio Panda FW513MA - FW532MA - FW658LZ mese 12/2022</t>
  </si>
  <si>
    <t>Riparazione danni sgrigliatore idrovora Sindacale sinistro 21/04/2022 (Prot.5342/2022)</t>
  </si>
  <si>
    <t>Riparazione danni sgrigliatore idrovora Sindacale sinistro 21/04/2022 - Prot.5342/2022 (Q.P.Fattura)</t>
  </si>
  <si>
    <t>FDI00000062023</t>
  </si>
  <si>
    <t xml:space="preserve">IVA su fattura pagata con mandato n.182/2023 </t>
  </si>
  <si>
    <t>Centro di costo 425/002/026 - 2022 - CIG:Y3138EE73A - Sostituzione gruppo motorizzato di traino nastro elevatore di Sindacale (Q.P. riparazione del danno)</t>
  </si>
  <si>
    <t>Y3138EE73A</t>
  </si>
  <si>
    <t>CIG:Y3138EE73A - Sostituzione gruppo motorizzato di traino nastro elevatore di Sindacale (Q.P. Fattura)</t>
  </si>
  <si>
    <t xml:space="preserve">IVA su fattura pagata con mandato n.183/2023 </t>
  </si>
  <si>
    <t>Centro di costo 620/003/001 - 2023 - IRAP anno 2023 Io quadrimestre</t>
  </si>
  <si>
    <t>IRAP su retribuzioni mese 01/2023 personale uffici - operai</t>
  </si>
  <si>
    <t>IT73Y0760102000000000339309</t>
  </si>
  <si>
    <t>IRAP su compensi mese 01/2023 Presidente e Vice Presidente</t>
  </si>
  <si>
    <t>Centro di costo 510/001/002 - 2023 -  Acquisto dati censuari di aggiornamento catasto consortile</t>
  </si>
  <si>
    <t>Acquisizione dati censuari di aggiornamento catasto consortile nel Comune di Treviso</t>
  </si>
  <si>
    <t>AGENZIA DELLE ENTRATE - UFFICIO PROVINCIALE DI TREVISO - TERRITORIO</t>
  </si>
  <si>
    <t>IT11W0760112000000025381351</t>
  </si>
  <si>
    <t>Centro di costo 310/004/013 - 2022  - Spese gestione attività specifiche sostenute da Anbi Veneto per CBVO</t>
  </si>
  <si>
    <t>Spese gestione attivita' specifiche sostenute da Anbi Veneto per CBVO anno 2022</t>
  </si>
  <si>
    <t>DETERMINA 141/2022</t>
  </si>
  <si>
    <t>Centro di costo 360/002/001 - 2023 - CIG: - rivista appalti e contratti on line, cartacea + pdf</t>
  </si>
  <si>
    <t>Y03398D6E9</t>
  </si>
  <si>
    <t>CIG:Y03398D6E9 - Rinnovo abbonamento rivista Appalti e Contratti on line, cartacea + pdf</t>
  </si>
  <si>
    <t>MAGGIOLI S.P.A.</t>
  </si>
  <si>
    <t>IT69W0623068020000056824002</t>
  </si>
  <si>
    <t>CIG:Y03398D6E9 - Rinnovo abbonamento rivista Appalti &amp; Contratti on line, cartacea + pdf</t>
  </si>
  <si>
    <t xml:space="preserve">IVA su fattura pagata con mandato n.188/2023 </t>
  </si>
  <si>
    <t>Centro di costo 310/002/004 - 2022 - CIG:YB93745036 - Formazione potenziamento dipendenti</t>
  </si>
  <si>
    <t>YB93745036</t>
  </si>
  <si>
    <t>CIG:YB93745036 - Formazione potenziamento Direttori</t>
  </si>
  <si>
    <t>PROFEXA CONSULTING S.R.L.</t>
  </si>
  <si>
    <t>IT03M0707202408000000190027</t>
  </si>
  <si>
    <t>420/1</t>
  </si>
  <si>
    <t>Centro di costo 440/001/060 - 2022 - CIG:Y7B3911B55 - Revisione biennale carrello porta barca</t>
  </si>
  <si>
    <t>Y7B3911B55</t>
  </si>
  <si>
    <t>CIG:Y7B3911B55 - Revisione biennale carrello porta barca</t>
  </si>
  <si>
    <t>OFFICINE BOZZA S.R.L.</t>
  </si>
  <si>
    <t>IT96P0623036070000015109915</t>
  </si>
  <si>
    <t>FO / 3238</t>
  </si>
  <si>
    <t xml:space="preserve">IVA su fattura pagata con mandato n.190/2023 </t>
  </si>
  <si>
    <t>Centro di costo 440/001/067 - 2022 - CIG:Y313968270 - Revisione annuale del collaudo autocarri Iveco Magirus Trakker A380T targati DW393RV e CZ061LN</t>
  </si>
  <si>
    <t>Y313968270</t>
  </si>
  <si>
    <t>CIG:Y313968270 - Revisione annuale del collaudo autocarri Iveco Magirus Trakker A380T targati DW393RV e CZ061LN</t>
  </si>
  <si>
    <t>FO / 99</t>
  </si>
  <si>
    <t>CIG:Y313968270 - Revisione annuale del collaudo autocarro Iveco Magirus Trakker A380T targato DW393RV</t>
  </si>
  <si>
    <t xml:space="preserve">IVA su fattura pagata con mandato n.191/2023 </t>
  </si>
  <si>
    <t>FO / 100</t>
  </si>
  <si>
    <t>CIG:Y313968270 - Revisione annuale del collaudo autocarro Iveco Magirus Trakker A380T targato CZ061LN</t>
  </si>
  <si>
    <t>Centro di costo 440/001/005 - 2022 - CIG:Y0F3540624 - Bilanciatura rulli trinciatrici Hymach ed Energreen e prova scambiatore calore Energreen AGN268 - Ditta:Centro Rettifiche Srl - A 678,56</t>
  </si>
  <si>
    <t>Y0F3540624</t>
  </si>
  <si>
    <t>CIG:Y0F3540624 - Bilanciatura rulli trinciatrici Hymach ed Energreen e prova scambiatore calore Energreen AGN268</t>
  </si>
  <si>
    <t>CENTRO RETTIFICHE SRL</t>
  </si>
  <si>
    <t>IT45A0200836241000104610764</t>
  </si>
  <si>
    <t xml:space="preserve">IVA su fattura pagata con mandato n.192/2023 </t>
  </si>
  <si>
    <t>Centro di costo 440/001/066 - 2022 - CIG:Y6839640DD - Riparazione martinetto penetratore dell'escavatore New Holland MH Plus</t>
  </si>
  <si>
    <t>Y6839640DD</t>
  </si>
  <si>
    <t>CIG:Y6839640DD - Riparazione martinetto penetratore dell'escavatore New Holland MH Plus</t>
  </si>
  <si>
    <t>000086/D</t>
  </si>
  <si>
    <t xml:space="preserve">IVA su fattura pagata con mandato n.193/2023 </t>
  </si>
  <si>
    <t>CIG:Y6839640DD - Riparazione martinetto penetratore dell'escavatore New Holland MH Plus (Q.P.Fattura)</t>
  </si>
  <si>
    <t>000043/D</t>
  </si>
  <si>
    <t>CIG:Y6839640DD-YDA3999539 - Riparazione martinetto penetratore dell'escavatore New Holland MH Plus</t>
  </si>
  <si>
    <t xml:space="preserve">IVA su fattura pagata con mandato n.194/2023 </t>
  </si>
  <si>
    <t>Centro di costo 440/001/001 - 2023 - CIG:YDA3999539 - Fornitura ricambi e riparazioni mezzi d'opera</t>
  </si>
  <si>
    <t>YDA3999539</t>
  </si>
  <si>
    <t>CIG:YDA3999539 - Fornitura ricambi e riparazioni mezzi d'opera (Q.P.Fattura)</t>
  </si>
  <si>
    <t>Centro di costo 417/005/003 - 2022 - CM 1213 - CUP:C27H22000230005 - CIG:911361482F - Affidamento diretto ripristino della funzionalità idraulica di alcune opere facenti parte della rete di distribuzione irrigua consorziale, mediante manutenzione straordinaria canalette anno 2022</t>
  </si>
  <si>
    <t>911361482F</t>
  </si>
  <si>
    <t>CUP:C27H22000230005 - CIG:911361482F - 3^ SAL ripristino funzionalita' idraulica di alcune opere della rete di distribuzione irrigua mediante manutenzione straordinaria canalette - C.M.1213</t>
  </si>
  <si>
    <t>BOEM</t>
  </si>
  <si>
    <t>MICHELE</t>
  </si>
  <si>
    <t>BMOMHL70H29H823Z</t>
  </si>
  <si>
    <t>IT82F0503436310000000010604</t>
  </si>
  <si>
    <t xml:space="preserve">IVA su fattura pagata con mandato n.196/2023 </t>
  </si>
  <si>
    <t>Centro di costo 379/001/031 - 2022 - CIG:Y4238E82E6 - Rinnovo annuale dei servizi antivirus per le postazioni server e client</t>
  </si>
  <si>
    <t>Y4238E82E6</t>
  </si>
  <si>
    <t>CIG:Y4238E82E6 - Rinnovo annuale dei servizi antivirus per le postazioni server e client</t>
  </si>
  <si>
    <t>ASIS S.R.L.</t>
  </si>
  <si>
    <t>IT92C0835636110000000111058</t>
  </si>
  <si>
    <t xml:space="preserve">IVA su fattura pagata con mandato n.197/2023 </t>
  </si>
  <si>
    <t>Centri di costo 300/004/001 e 300/004/002 - 2023 - Contributi a carico dell'Ente per il personale d'ufficio ed esterno - 1o e 2o quadrimestre 2023</t>
  </si>
  <si>
    <t>contributi su retribuzioni mese 01/2023 personale uffici-operai</t>
  </si>
  <si>
    <t>contributi su retribuzioni mese 01/2023 personale dipendente</t>
  </si>
  <si>
    <t>Centro di costo 435/001/012 - 2022  - CIG:Y78396423C - Fornitura gasolio agevolato per l'esercizio dei mezzi d'opera</t>
  </si>
  <si>
    <t>Y78396423C</t>
  </si>
  <si>
    <t>CIG:Y78396423C - Fornitura gasolio agevolato per l'esercizio dei mezzi d'opera (Q.P.Fattura)</t>
  </si>
  <si>
    <t>CHIURLO S.R.L.</t>
  </si>
  <si>
    <t>IT59D0863112303000001010130</t>
  </si>
  <si>
    <t>22-FSPL-0223</t>
  </si>
  <si>
    <t>CIG:Y78396423C-Y6A39467D6-Y613867E4F-YC838A812B - Fornitura gasolio agevolato per l'esercizio dei mezzi d'opera</t>
  </si>
  <si>
    <t xml:space="preserve">IVA su fattura pagata con mandato n.201/2023 </t>
  </si>
  <si>
    <t>Centro di costo 435/001/011 - 2022 - CIG:Y6A39467D6 - Fornitura gasolio agricolo per l'esercizio dei mezzi d'opera</t>
  </si>
  <si>
    <t>Y6A39467D6</t>
  </si>
  <si>
    <t>CIG:Y6A39467D6 - Fornitura gasolio agricolo per l'esercizio dei mezzi d'opera (Q.P.Fattura)</t>
  </si>
  <si>
    <t>Centro di costo 435/001/010 - 2022 - CIG:Y613867E4F - Fornitura gasolio agricolo</t>
  </si>
  <si>
    <t>Y613867E4F</t>
  </si>
  <si>
    <t>CIG:Y613867E4F - Fornitura gasolio agricolo per l'esercizio dei mezzi d'opera (Q.P.Fattura)</t>
  </si>
  <si>
    <t>Centro di costo 435/001/009 - 2022 - CIG:YC838A812B - Fornitura gasolio agricolo</t>
  </si>
  <si>
    <t>YC838A812B</t>
  </si>
  <si>
    <t>CIG:YC838A812B - Fornitura gasolio agevolato per l'esercizio dei mezzi d'opera (Q.P.Fattura)</t>
  </si>
  <si>
    <t>Centro di costo 470/001/021 - 2022 - CIG:Y0238FEA26 - Riparazione caldaia Vissmann installata presso la sede di San Donà di Piave</t>
  </si>
  <si>
    <t>Y0238FEA26</t>
  </si>
  <si>
    <t>CIG:Y0238FEA26 - Riparazione caldaia Vissmann installata presso la sede di San Dona' di Piave</t>
  </si>
  <si>
    <t>GAMBAROTTO IMPIANTI S.R.L.</t>
  </si>
  <si>
    <t>IT19E0585636282109571297939</t>
  </si>
  <si>
    <t xml:space="preserve">IVA su fattura pagata con mandato n.205/2023 </t>
  </si>
  <si>
    <t>Centro di costo 440/001/052 - 2022 - CIG:YF238C1B8A - Fornitura attrezzatura e materiale di consumo per la manutenzione dei manufatti e mezzi consorziali</t>
  </si>
  <si>
    <t>YF238C1B8A</t>
  </si>
  <si>
    <t>CIG:YF238C1B8A - Fornitura attrezzatura e materiale di consumo manutenzione manufatti e mezzi consorziali</t>
  </si>
  <si>
    <t>UTILMECCANICA COMMERCIALE S.R.L.</t>
  </si>
  <si>
    <t>IT09C0538736240000047445943</t>
  </si>
  <si>
    <t>2662/EL</t>
  </si>
  <si>
    <t xml:space="preserve">IVA su fattura pagata con mandato n.206/2023 </t>
  </si>
  <si>
    <t>97/EL</t>
  </si>
  <si>
    <t>Centro di costo 425/002/020 - 2022 - CIG:Y10378439B - Fornitura gas tecnico per lavori in officina di taglio e saldatura e nolo delle bombole in uso</t>
  </si>
  <si>
    <t>Y10378439B</t>
  </si>
  <si>
    <t>CIG:Y10378439B - Fornitura gas tecnico per lavori in officina di taglio e saldatura e nolo delle bombole in uso (Q.P.Fattura)</t>
  </si>
  <si>
    <t>TERGAS S.R.L.</t>
  </si>
  <si>
    <t>IT08N0306936221100000002581</t>
  </si>
  <si>
    <t>CIG:Y10378439B-Y9739A4F1A - Fornitura gas tecnico per lavori in officina di taglio e saldatura e nolo delle bombole in uso</t>
  </si>
  <si>
    <t xml:space="preserve">IVA su fattura pagata con mandato n.207/2023 </t>
  </si>
  <si>
    <t>Centro di costo 425/002/001 - 2023 - CIG:Y9739A4F1A - Fornitura gas tecnici da taglio e saldatura per lavorazioni in officina e nolo bombole</t>
  </si>
  <si>
    <t>Y9739A4F1A</t>
  </si>
  <si>
    <t>CIG:Y9739A4F1A - Fornitura gas tecnici da taglio e saldatura per lavorazioni in officina e nolo bombole (Q.P.Fattura)</t>
  </si>
  <si>
    <t>Centro di costo 485/005/008 - 2022 - Imp.346/2022 - CIG:Y0036B709B -  Fornitura materiale di consumo e ricambi per la manutenzione di attrezzature tipo motoseghe, decespugliatori, ecc…</t>
  </si>
  <si>
    <t>Y0036B709B</t>
  </si>
  <si>
    <t>CIG:Y0036B709B - Fornitura materiale di consumo e ricambi manutenzione motoseghe e decespugliatori</t>
  </si>
  <si>
    <t>AGRIGARDEN S.R.L.</t>
  </si>
  <si>
    <t>IT60J0306936243100000014322</t>
  </si>
  <si>
    <t>001470/22</t>
  </si>
  <si>
    <t xml:space="preserve">IVA su fattura pagata con mandato n.209/2023 </t>
  </si>
  <si>
    <t>001646/22</t>
  </si>
  <si>
    <t>CIG:813283970D - Fornitura energia elettrica periodo 12/2022 esercizio impianti idrovori (q.p.)</t>
  </si>
  <si>
    <t xml:space="preserve">IVA su fattura pagata con mandato n.210/2023 </t>
  </si>
  <si>
    <t>Centro di costo 454/001/001 - 2023 - CIG:813283970D - Fornitura energia elettrica necessaria all'esercizio degli impianti idrovori</t>
  </si>
  <si>
    <t xml:space="preserve">IVA su fattura pagata con mandato n.211/2023 </t>
  </si>
  <si>
    <t xml:space="preserve">IVA su fattura pagata con mandato n.212/2023 </t>
  </si>
  <si>
    <t xml:space="preserve">IVA su fattura pagata con mandato n.213/2023 </t>
  </si>
  <si>
    <t>Centro di costo 380/003/006 - 2022 - CIG:YDE3632AD2 - Connessione ADSL  Cittanova  - Quota per una annualità</t>
  </si>
  <si>
    <t>YDE3632AD2</t>
  </si>
  <si>
    <t>CIG:YDE3632AD2 - canone 1^ bim.2023 servizio ADSL imp.Cittanova</t>
  </si>
  <si>
    <t>IT79C0306902118100000019995</t>
  </si>
  <si>
    <t>8E01025809</t>
  </si>
  <si>
    <t xml:space="preserve">IVA su fattura pagata con mandato n.214/2023 </t>
  </si>
  <si>
    <t>Centro di costo 380/001/007 - 2022 - CIG: -  Spese di telefonia fissa - quota parte bimestre</t>
  </si>
  <si>
    <t>YBC38F4399</t>
  </si>
  <si>
    <t>CIG:YBC38F4399 - bollette telefonia fissa 1^ bim.2023 (Q.P. Fattura)</t>
  </si>
  <si>
    <t>CIG:YBC38F4399-YD73767584 - bollette telefonia fissa 1^ bim.2023</t>
  </si>
  <si>
    <t xml:space="preserve">IVA su fattura pagata con mandato n.215/2023 </t>
  </si>
  <si>
    <t>Centro di costo 380/001/006 - 2022 - CIG:YBC38F4399 -  Spese di telefonia fissa - quota parte anno 2022 - Bim.06/2022</t>
  </si>
  <si>
    <t>CIG:YBC38F4399 -  bollette telefonia fissa 1^ bim.2023 (Q.P. Fattura)</t>
  </si>
  <si>
    <t>Centro di costo 380/001/005 - 2022 - CIG:YD73767584 -  Spese di telefonia fissa - quota parte bimestre 05/2022</t>
  </si>
  <si>
    <t>YD73767584</t>
  </si>
  <si>
    <t>CIG:YD73767584 - bollette telefonia fissa 1^ bim.2023 (Q.P. Fattura)</t>
  </si>
  <si>
    <t>contributi fondo previdenza su retribuzioni mese 01/2023 personale uffici-operai</t>
  </si>
  <si>
    <t>contributi fondo previdenza su retribuzioni mese 01/2023 personale dipendente</t>
  </si>
  <si>
    <t>contributi fondo TFR su retribuzioni mese 01/2023 personale uffici-operai</t>
  </si>
  <si>
    <t>Centro di costo 305/001/002 - 2023 - Contributo associativo  ANBI 2023</t>
  </si>
  <si>
    <t>contributi ANBI su retribuzioni mese 01/2023</t>
  </si>
  <si>
    <t>Centro di costo 305/001/003 - 2023 - Contributo associativo  SNEBI 2023</t>
  </si>
  <si>
    <t>contributi SNEBI su retribuzioni mese 01/2023</t>
  </si>
  <si>
    <t>cessione quinto stipendio mese 02/2023</t>
  </si>
  <si>
    <t>Rimborso avvisi di pagamento</t>
  </si>
  <si>
    <t>Rimborso avviso di pagamento n.3620218762 erroneamente addebitato - ditta Bastianello Gianfranco</t>
  </si>
  <si>
    <t>COMUNE DI CAVALLINO TREPORTI</t>
  </si>
  <si>
    <t>IT98J0200883211000041257688</t>
  </si>
  <si>
    <t>Centro di costo 425/002/004 - 2022 - CIG:Y47355D64A - Fornitura materiale ferroso necessario alla manutenzione dello sgrigliatore dell'impianto 6o Bacino</t>
  </si>
  <si>
    <t>Y47355D64A</t>
  </si>
  <si>
    <t>CIG:Y47355D64A - Fornitura materiale ferroso manutenzione sgrigliatore impianto 6^ Bacino (Q.P.Fattura)</t>
  </si>
  <si>
    <t>BUTTIGNOL DIEGO S.R.L.</t>
  </si>
  <si>
    <t>IT07U0503412500000000001219</t>
  </si>
  <si>
    <t>CIG:Y47355D64A-YB639D4970 - Fornitura materiale ferroso manutenzione sgrigliatore impianto 6^ Bacino</t>
  </si>
  <si>
    <t xml:space="preserve">IVA su fattura pagata con mandato n.225/2023 </t>
  </si>
  <si>
    <t>Centro di costo 417/004/003 - 2023 - CIG:YB639D4970 - Fornitura materiale ferroso necessario alla costruzione di paratoie e griglie per manufatti</t>
  </si>
  <si>
    <t>YB639D4970</t>
  </si>
  <si>
    <t>CIG:YB639D4970 - Fornitura materiale ferroso costruzione paratoie e griglie per manufatti (Q.P.Fattura)</t>
  </si>
  <si>
    <t>Rimborso quota interessi prestito 5 milioni - 02/2023</t>
  </si>
  <si>
    <t>Rimborso quota capitale prestito 5 milioni - 02/2023</t>
  </si>
  <si>
    <t>contributi Fondo integrativo sanitario anno 2023 - GIROCONTO CON REVERSALE N.93/2023 QP</t>
  </si>
  <si>
    <t>FIS - FONDO INTEGRATIVO SANITARIO DIPENDENTI CONSORTILI</t>
  </si>
  <si>
    <t>contributi Assidai anno 2023 - GIROCONTO CON REVERSALE N.94/2023 QP</t>
  </si>
  <si>
    <t>ASSIDAI - FONDO DI ASSISTENZA PER I DIRIGENTI DI AZIENDE INDUSTRIALI</t>
  </si>
  <si>
    <t>Retribuzioni mese 02/2023 personale uffici-operai</t>
  </si>
  <si>
    <t>Liquidazione T.F.R. personale dipendente</t>
  </si>
  <si>
    <t>Centro di costo 300/001/004 - 2023 - CIG: - Indennità di trasferta e rimborsi spese personale uffici e personale esterno 1o quadrimestre 2023</t>
  </si>
  <si>
    <t>rimb. spese trasferta e varie mese 01/2023 personale uffici-operai</t>
  </si>
  <si>
    <t>pensioni mese 02/2023</t>
  </si>
  <si>
    <t>compensi mese 02/2023 Presidente e Vice Presidente</t>
  </si>
  <si>
    <t>Centro di costo 330/001/001 - 2022 - Compensi e rimborsi ai membri dell'Assemblea - Anno 2022</t>
  </si>
  <si>
    <t>compensi e rimborso spese anno 2022</t>
  </si>
  <si>
    <t>CdC 401/027 - 2022_CM diversi - Incarichi servizi di progettazione C.M. diversi</t>
  </si>
  <si>
    <t>YA434C7B8F</t>
  </si>
  <si>
    <t>CUP:C77H21001890005 - CIG:YA434C7B8F - Lotto 6 - Affidamento incarico sviluppo progetto fattibilita' tecnico-economica per il recupero e valorizzazione della Cartera di Villanova - C.M.1203</t>
  </si>
  <si>
    <t>ANGELUCCI</t>
  </si>
  <si>
    <t>ANTONIO</t>
  </si>
  <si>
    <t>NGLNTN60E17E472H</t>
  </si>
  <si>
    <t>IT82L0306936243100000679005</t>
  </si>
  <si>
    <t>FPR 5/23</t>
  </si>
  <si>
    <t>CUP:C77H21001890005 - CIG:YA434C7B8F - lotto 6 - Affidamento incarico sviluppo progetto fattibilita' tecnico-economica per il recupero e valorizzazione della Cartera di Villanova - C.M.1203</t>
  </si>
  <si>
    <t>Ritenuta d'acconto IRPEF su compenso corrisposto su mandato n.245/2023</t>
  </si>
  <si>
    <t>Centro di costo 395/013/001 - 2021 - CIG:Y6030A1D51 - CM 1056_ CUP:J26B18000330001_Collegamento del bacino Bella Madonna al bacino Ongaro Inferiore 1o mediante sottopasso il canale Brian a Staffolo - OCDP 558/2018 - Ord. Commiss. Deleg. N.4/21.04.2020 - Servizio di sorveglianza archeologica - Ditta:Archeotest Srl - A 9.760,00</t>
  </si>
  <si>
    <t>Y6030A1D51</t>
  </si>
  <si>
    <t>O.C.04 del 21/04/2020 - CBVO-1-2020 - CUP:J26B18000330001 - CIG:Y6030A1D51 - Saldo sorveglianza archeologica collegamento del bacino Bella Madonna al bacino Ongaro Inferiore mediante sottopasso il canale Brian a Staffolo - OCDP 558/2018 - Tempesta Vaia - C.M.1056</t>
  </si>
  <si>
    <t>ARCHEOTEST S.R.L.</t>
  </si>
  <si>
    <t>IT50R0103012301000001595506</t>
  </si>
  <si>
    <t>IVA su fattura pagata con mandato n.246/2023</t>
  </si>
  <si>
    <t>Centro di costo 378/001/007 - 2022 - CIG:ZBE2A57D1D - Acquisizione a noleggio per 36 mesi di n.4 notebook - contratto del 22/10/2019 - Prot. 11654 - quota prevista per esercizio 2022</t>
  </si>
  <si>
    <t>ACQUISIZIONE DI ALTRE IMMOBILIZZAZIONI MATERIALI</t>
  </si>
  <si>
    <t>ZBE2A57D1D</t>
  </si>
  <si>
    <t>CIG:ZBE2A57D1D - Acquisizione a noleggio n.4 notebook - Quota per chiusura posizione</t>
  </si>
  <si>
    <t>TINET S.R.L.</t>
  </si>
  <si>
    <t>IT16X0623061860000015055495</t>
  </si>
  <si>
    <t>F00-2023-247</t>
  </si>
  <si>
    <t xml:space="preserve">IVA su fattura pagata con mandato n.247/2023 </t>
  </si>
  <si>
    <t>Centro di costo 379/001/021 - 2022 - CIG:YF83699B22 - Rinnovo contratto annuale licenze Microsoft Office 365 - Quota prevista per tre trimestri</t>
  </si>
  <si>
    <t>YF83699B22</t>
  </si>
  <si>
    <t>CIG:YF83699B22 - Canone utilizzo licenze Microsoft Office 365 - Periodo 01/01-31/03/2023</t>
  </si>
  <si>
    <t>F03-2023-9</t>
  </si>
  <si>
    <t xml:space="preserve">IVA su fattura pagata con mandato n.248/2023 </t>
  </si>
  <si>
    <t>Centro di costo 378/001/001 - 2022 - CIG:Y4134FB6DD - Acquisizione di apparecchiatura plotter per la Sede di San Donà di Piave - Quota per una annualità per opzione a noleggio per 36 mesi con riscatto finale</t>
  </si>
  <si>
    <t>Y4134FB6DD</t>
  </si>
  <si>
    <t>CIG:Y4134FB6DD - Acquisizione con noleggio di apparecchiatura plotter sede di San Dona' di Piave - Periodo 01/01-31/03/2023</t>
  </si>
  <si>
    <t>F03-2023-7</t>
  </si>
  <si>
    <t xml:space="preserve">IVA su fattura pagata con mandato n.249/2023 </t>
  </si>
  <si>
    <t>Centro di costo 378/001/028 - 2022 - CIG:YB637B4FB3 - Acquisizione a noleggio per 36 mesi di n.4 notebook - Quota impegno per una annalità - Ditta:Tinet Srl - A 2.200,00</t>
  </si>
  <si>
    <t>YB637B4FB3</t>
  </si>
  <si>
    <t>CIG:YB637B4FB3 - Acquisizione a noleggio di n.4 notebook - Periodo 01/01-31/03/2023</t>
  </si>
  <si>
    <t>F03-2023-8</t>
  </si>
  <si>
    <t xml:space="preserve">IVA su fattura pagata con mandato n.250/2023 </t>
  </si>
  <si>
    <t>Centro di costo 378/001/019 - 2022 - CIG:Z043065359 - Quota per acquisizione a noleggio di workstation grafiche da dedicare all'ufficio tecnico</t>
  </si>
  <si>
    <t>Z043065359</t>
  </si>
  <si>
    <t>CIG:Z043065359 - Acquisizione a noleggio di workstation grafiche da dedicare all'ufficio tecnico - Rata 01/01-31/03/2023</t>
  </si>
  <si>
    <t>F03-2023-11</t>
  </si>
  <si>
    <t xml:space="preserve">IVA su fattura pagata con mandato n.251/2023 </t>
  </si>
  <si>
    <t>Centro di costo 378/001/012 - CIG:ZD8266C15F - Fornitura di apparecchiature informatiche</t>
  </si>
  <si>
    <t>ZD8266C15F</t>
  </si>
  <si>
    <t>CIG:ZD8266C15F - Acquisizione a noleggio n.12 notebook - Canone 01/01-31/03/2023</t>
  </si>
  <si>
    <t>F03-2023-15</t>
  </si>
  <si>
    <t xml:space="preserve">IVA su fattura pagata con mandato n.252/2023 </t>
  </si>
  <si>
    <t>Centro di costo 378/001/023 - 2022 - CIG:Z0732497D2 - Acquisizione a noleggio per 36 mesi di n.3 notebook per Capi-Squadra Personale esterno - quota impegno per una annualità</t>
  </si>
  <si>
    <t>Z0732497D2</t>
  </si>
  <si>
    <t>CIG:Z0732497D2 - Acquisizione a noleggio per 36 mesi di n.3 probook - Periodo 01/01-31/03/2023 (Q.P.Fattura)</t>
  </si>
  <si>
    <t>F03-2023-17</t>
  </si>
  <si>
    <t>CIG:Z0732497D2 - Acquisizione a noleggio per 36 mesi di n.3 probook - Periodo 01/01-31/03/2023</t>
  </si>
  <si>
    <t xml:space="preserve">IVA su fattura pagata con mandato n.253/2023 </t>
  </si>
  <si>
    <t>Centro di costo 378/001/021 - 2021 - CIG:Z0732497D2 - Acquisizione a noleggio per 36 mesi di n.3 notebook per Capi-Squadra Personale esterno - quota impegno per una annualità - Ditta:Tinet Srl - A 1.400,00</t>
  </si>
  <si>
    <t>Centro di costo 378/001/021 - 2022 - CIG:Z4F32BF21E - Acquisizione a noleggio per 36 mesi di n.2 notebook - caratteristiche tipo workstation - Ordine Prot.12011/2021 - quota impegno per una annualità</t>
  </si>
  <si>
    <t>Z4F32BF21E</t>
  </si>
  <si>
    <t>CIG:Z4F32BF21E - Acquisizione a noleggio di n.2 notebook tipo workstation - Periodo 01/01-31/03/2023</t>
  </si>
  <si>
    <t>F03-2023-19</t>
  </si>
  <si>
    <t xml:space="preserve">IVA su fattura pagata con mandato n.255/2023 </t>
  </si>
  <si>
    <t>Centro di Costo 378/001/008 - 2022 - CIG:Z882F251A9 - Acquisizione a noleggio per periodo di 36 mesi di n. 10 notebook, Contratto protocollo 12819/2020, Quota per anno 2022</t>
  </si>
  <si>
    <t>Z882F251A9</t>
  </si>
  <si>
    <t>CIG:Z882F251A9 - Acquisizione a noleggio di n.10 notebook - Periodo 01/01-31/03/2023</t>
  </si>
  <si>
    <t>F03-2023-20</t>
  </si>
  <si>
    <t xml:space="preserve">IVA su fattura pagata con mandato n.256/2023 </t>
  </si>
  <si>
    <t>Centro di costo 378/001/022 - 2022 - CIG:ZC0323D58C - Acquisizione a noleggio per 36 mesi di n.2 computer per l'ufficio protocollo - quota di impegno per una annualità</t>
  </si>
  <si>
    <t>ZC0323D58C</t>
  </si>
  <si>
    <t>CIG:ZC0323D58C - Acquisizione a noleggio n.2 computer per l'ufficio protocollo - Periodo 01/01-31/03/2023</t>
  </si>
  <si>
    <t>F03-2023-14</t>
  </si>
  <si>
    <t xml:space="preserve">IVA su fattura pagata con mandato n.257/2023 </t>
  </si>
  <si>
    <t>Centro di costo 378/001/014 - 2022 - CIG:ZA4322E4A6 - Acquisizione a noleggio per 36 mesi di n.4 notebook - Lotto ottobre 2021 - quota impegno per una annualità</t>
  </si>
  <si>
    <t>ZA4322E4A6</t>
  </si>
  <si>
    <t>CIG:ZA4322E4A6 - Acquisizione a noleggio di n.4 notebook - Periodo 01/01-31/03/2023</t>
  </si>
  <si>
    <t>F03-2023-21</t>
  </si>
  <si>
    <t xml:space="preserve">IVA su fattura pagata con mandato n.258/2023 </t>
  </si>
  <si>
    <t>Centro di costo 378/001/020 - 2022 - CIG:Y33337C90B - Acquisizione a noleggio per 36 mesi di n.4 notebook - quota impegno per una annualità</t>
  </si>
  <si>
    <t>Y33337C90B</t>
  </si>
  <si>
    <t>CIG:Y33337C90B - Acquisizione a noleggio di n.4 notebook - Periodo 01/01-31/03/2023</t>
  </si>
  <si>
    <t>F03-2023-16</t>
  </si>
  <si>
    <t xml:space="preserve">IVA su fattura pagata con mandato n.259/2023 </t>
  </si>
  <si>
    <t>Centro di Costo 378/001/012 - 2022 - CIG:Z01313FDD5 - Acquisizione a noleggio per 36 mesi di n.6 notebook, Contratto Prot. 4671 del 12/04/2021, Quota impegno per anno 2022</t>
  </si>
  <si>
    <t>Z01313FDD5</t>
  </si>
  <si>
    <t>CIG:Z01313FDD5 - Acquisizione a noleggio n.6 notebook - Periodo 01/01-31/03/2023</t>
  </si>
  <si>
    <t>F03-2023-10</t>
  </si>
  <si>
    <t xml:space="preserve">IVA su fattura pagata con mandato n.260/2023 </t>
  </si>
  <si>
    <t>Centro di costo 378/001/017 - 2022 - CIG:Z672FD3DE3 - Acquisizione a noleggio per periodo di 36 mesi di n. 2 notebook tipo workstation - Contratto protocollo 14627/2020 - Quota parte per annualità 2022</t>
  </si>
  <si>
    <t>Z672FD3DE3</t>
  </si>
  <si>
    <t>CIG:Z672FD3DE3 - Acquisizione a noleggio di n.2 notebook tipo workstation - Periodo 01/01-31/03/2023</t>
  </si>
  <si>
    <t>F03-2023-12</t>
  </si>
  <si>
    <t xml:space="preserve">IVA su fattura pagata con mandato n.261/2023 </t>
  </si>
  <si>
    <t>Centro di costo 378/001/025 - 2020 - CIG:Z293065289 - Acquisizione apparecchiatura NAS per gestione backup dei server virtuali</t>
  </si>
  <si>
    <t>Z293065289</t>
  </si>
  <si>
    <t>CIG:Z293065289 - Acquisizione a noleggio apparecchiatura NAS per la gestione backup dei server virtuali - Periodo 01/01-31/03/2023</t>
  </si>
  <si>
    <t>F03-2023-18</t>
  </si>
  <si>
    <t xml:space="preserve">IVA su fattura pagata con mandato n.262/2023 </t>
  </si>
  <si>
    <t>Centro di Costo 378/001/013 - 2022 - CIG:ZA8313FDBE - Acquisizione a noleggio per 36 mesi di n.2 notebook tipo ws, Contratto Prot. 3284/2021, Quota impegno per anno 2022</t>
  </si>
  <si>
    <t>ZA8313FDBE</t>
  </si>
  <si>
    <t>CIG:ZA8313FDBE - Acquisizione a noleggio di n.2 notebook tipo workstation - Periodo 01/01-31/03/2023</t>
  </si>
  <si>
    <t>F03-2023-13</t>
  </si>
  <si>
    <t xml:space="preserve">IVA su fattura pagata con mandato n.263/2023 </t>
  </si>
  <si>
    <t>Centro di costo 378/001/032 - 2022 - CIG:Y98393AA42 - Acquisizione di accessori quali monitor, docking ed altro per allestimento postazioni uffici</t>
  </si>
  <si>
    <t>Y98393AA42</t>
  </si>
  <si>
    <t>CIG:Y98393AA42 - Acquisizione di accessori quali monitor, docking ed altro per allestimento postazioni uffici</t>
  </si>
  <si>
    <t>F00-2023-51</t>
  </si>
  <si>
    <t xml:space="preserve">IVA su fattura pagata con mandato n.264/2023 </t>
  </si>
  <si>
    <t>Centro di costo 379/001/035 - 2022 - CIG:YEA390007B - Rinnovo annuale di n.5 licenze antivirus per postazioni esterne non collegate alla rete interna</t>
  </si>
  <si>
    <t>YEA390007B</t>
  </si>
  <si>
    <t>CIG:YEA390007B - Rinnovo annuale n.5 licenze antivirus postazioni esterne non collegate alla rete interna</t>
  </si>
  <si>
    <t>ADB INFORMATICA</t>
  </si>
  <si>
    <t>IT46E0890436140029000001905</t>
  </si>
  <si>
    <t xml:space="preserve">IVA su fattura pagata con mandato n.265/2023 </t>
  </si>
  <si>
    <t>Centro di costo 379/003/008 - 2021 - CIG:YAB345C1C8 - Servizi di assistenza sistemistica evoluta sui sistemi informatici - Pacchetto ore a scalare</t>
  </si>
  <si>
    <t>YAB345C1C8</t>
  </si>
  <si>
    <t>CIG:YAB345C1C8 - Servizi assistenza sistemistica evoluta sui sistemi informatici - Pacchetto ore a scalare - 2^ semestre 2022</t>
  </si>
  <si>
    <t xml:space="preserve">IVA su fattura pagata con mandato n.266/2023 </t>
  </si>
  <si>
    <t>Centro di costo 379/001/024 - 2022 - CIG:Y9C376783E - Rinnovo annuale dei servizi di assistenza del software MDAEMON ed Archive Server - 10 Utenze</t>
  </si>
  <si>
    <t>Y9C376783E</t>
  </si>
  <si>
    <t>CIG:Y9C376783E - Rinnovo annuale servizi assistenza software MDAEMON ed Archive Server - 10 Utenze</t>
  </si>
  <si>
    <t xml:space="preserve">IVA su fattura pagata con mandato n.267/2023 </t>
  </si>
  <si>
    <t>Centro di costo 379/001/029 - 2022 - CIG:Y303834350 - Acquisizione di utilizzo licenze Adobe Illustrator - Photoshop - Adobe XD - Rinnovo per una annualità di tutte le licenze attivate</t>
  </si>
  <si>
    <t>Y303834350</t>
  </si>
  <si>
    <t>CIG:Y303834350 - Rinnovo annualita' utilizzo licenze Adobe Illustrator - Photoshop - Adobe XD</t>
  </si>
  <si>
    <t xml:space="preserve">IVA su fattura pagata con mandato n.268/2023 </t>
  </si>
  <si>
    <t>Centro di costo 378/001/030 - 2022 - CIG:Y52383583E - Acquisizione drive e supporti magnetici per backup sistemi</t>
  </si>
  <si>
    <t>Y52383583E</t>
  </si>
  <si>
    <t>CIG:Y52383583E - Acquisizione drive e supporti magnetici per backup sistemi</t>
  </si>
  <si>
    <t xml:space="preserve">IVA su fattura pagata con mandato n.269/2023 </t>
  </si>
  <si>
    <t>Centro di costo 378/001/024 - 2022 - CIG:Z9032BF1FD - Acquisizione a noleggio di apparecchiatura server rack - dischi aggiuntivi e cavi di connessione storage - assistenza 24x7 per la gestione VM e backup - Quota per una annualità</t>
  </si>
  <si>
    <t>Z9032BF1FD</t>
  </si>
  <si>
    <t>CIG:Z9032BF1FD - Acquisizione a noleggio con riscatto finale di apparecchiatura server rack - Rata 6/12</t>
  </si>
  <si>
    <t xml:space="preserve">IVA su fattura pagata con mandato n.270/2023 </t>
  </si>
  <si>
    <t>Centro di costo 378/001/025 - 2022 - CIG:Z2531658B8 - Acquisizione a noleggio 36 mesi con riscatto finale di workstation grafica - kit per rack e software di TS - Quota per una annualità</t>
  </si>
  <si>
    <t>Z2531658B8</t>
  </si>
  <si>
    <t>CIG:Z2531658B8 - Canone noleggio operativo per 36 mesi con riscatto finale di workstation grafica - Rata 07/12</t>
  </si>
  <si>
    <t xml:space="preserve">IVA su fattura pagata con mandato n.271/2023 </t>
  </si>
  <si>
    <t>Centro di costo 380/003/019 - 2021 - CIG:Y2034A8C24 - Servizio hosting in cloud nuovo server di appoggio per servizi piano di classifica Quota per apertura e parte annualità</t>
  </si>
  <si>
    <t>Y2034A8C24</t>
  </si>
  <si>
    <t>CIG:Y2034A8C24 - Canone servizio hosting in appoggio servizi vari - Periodo 01/01-31/03/2023 (Q.P.Fattura)</t>
  </si>
  <si>
    <t>CIG:Y2034A8C24 - Canone servizio hosting in appoggio servizi vari - Periodo 01/01-31/03/2023</t>
  </si>
  <si>
    <t xml:space="preserve">IVA su fattura pagata con mandato n.272/2023 </t>
  </si>
  <si>
    <t>Centro di costo 380/003/001 - 2023 - CIG:Y2034A8C24 - Servizio hosting in cloud - server di appoggio per servizi piano di classifica - Quota per una annualità</t>
  </si>
  <si>
    <t>Centro di costo 379/002/009 - 2022 - CIG:YA33940286 - Canone annuale di assistenza su storage IBM secondario - Periodo 01/01-31/12 2023</t>
  </si>
  <si>
    <t>YA33940286</t>
  </si>
  <si>
    <t>CIG:YA33940286 - Canone annuale assistenza su storage IBM secondario - Periodo 01/01-31/12/2023</t>
  </si>
  <si>
    <t xml:space="preserve">IVA su fattura pagata con mandato n.274/2023 </t>
  </si>
  <si>
    <t>Centro di costo 467/001/001 - 2022 - CIG:Z6C304AB62 - Fornitura vestiario (operai, meccanici, elettricisti)</t>
  </si>
  <si>
    <t>CIG:Z6C304AB62 - Fornitura vestiario personale operaio</t>
  </si>
  <si>
    <t>A3866</t>
  </si>
  <si>
    <t xml:space="preserve">IVA su fattura pagata con mandato n.275/2023 </t>
  </si>
  <si>
    <t>CIG:Z6C304AB62 - Fornitura calzature sorveglianti idraulici</t>
  </si>
  <si>
    <t>A128</t>
  </si>
  <si>
    <t xml:space="preserve">IVA su fattura pagata con mandato n.276/2023 </t>
  </si>
  <si>
    <t>Centro di costo 445/001/003 - 2022 - CIG:Y3934EDA10 - Revisioni autoveicoli consorziali anno 2021</t>
  </si>
  <si>
    <t>Y3934EDA10</t>
  </si>
  <si>
    <t>CIG:Y3934EDA10 - Revisione Fiat Fiorino AY879JZ, Panda BZ115YT, Panda CC807WR</t>
  </si>
  <si>
    <t>CENTRO REVISIONI 2A DI DORATIOTTO ANDREA E ALESSIO S.N.C.</t>
  </si>
  <si>
    <t>IT78P0835636070000000078550</t>
  </si>
  <si>
    <t>CIG:Y3934EDA10 - Revisione Fiat Fiorino AY879JZ</t>
  </si>
  <si>
    <t xml:space="preserve">IVA su fattura pagata con mandato n.277/2023 </t>
  </si>
  <si>
    <t>CIG:Y3934EDA10 - Revisione Fiat Panda BZ115YT</t>
  </si>
  <si>
    <t>CIG:Y3934EDA10 - Revisione Fiat Panda CC807WR</t>
  </si>
  <si>
    <t>IVA su fattura pagata con mandato n.278/2023</t>
  </si>
  <si>
    <t>Centro di costo 360/002/003 - 2022 - CIG:Y9D38E762B - Acquisto n.40 copie volume La grande storia d'Italia</t>
  </si>
  <si>
    <t>Y9D38E762B</t>
  </si>
  <si>
    <t>CIG:Y9D38E762B - Acquisto n.40 copie volume La grande storia d'Italia</t>
  </si>
  <si>
    <t>LEONARDO LIBRI SRL</t>
  </si>
  <si>
    <t>IT09S0306902914100000006857</t>
  </si>
  <si>
    <t>Centro di costo: 510/001/009 - 2022 - CIG:Y7137D3CE8 - Attività sperimentale di supporto alla riscossione preliminare alla fase coattiva - ruolo anno 2021</t>
  </si>
  <si>
    <t>Y7137D3CE8</t>
  </si>
  <si>
    <t>CIG:Y7137D3CE8 - Attivita' sperimentale di supporto alla riscossione preliminare alla fase coattiva - ruolo anno 2021 (Q.P.Fattura)</t>
  </si>
  <si>
    <t>ADVANCING TRADE SPA</t>
  </si>
  <si>
    <t>IT46X0511611100000000001172</t>
  </si>
  <si>
    <t>CIG:Y7137D3CE8-Z6932D8C19 - Attivita' sperimentale di supporto alla riscossione preliminare alla fase coattiva - ruolo anno 2021</t>
  </si>
  <si>
    <t xml:space="preserve">IVA su fattura pagata con mandato n.280/2023 </t>
  </si>
  <si>
    <t>Centro di costo 510/001/010 - 2021 - CIG:Z6932D8C19 - Attività sperimentale di supporto alla riscossione preliminare alla fase coattiva - ruolo anno 2020</t>
  </si>
  <si>
    <t>Z6932D8C19</t>
  </si>
  <si>
    <t>CIG:Z6932D8C19 - Attivita' sperimentale di supporto alla riscossione preliminare alla fase coattiva - ruolo anno 2021 (Q.P.Fattura)</t>
  </si>
  <si>
    <t>CIG:Y7137D3CE8 - Attivita' sperimentale di supporto alla riscossione preliminare alla fase coattiva - ruolo anno 2021</t>
  </si>
  <si>
    <t xml:space="preserve">IVA su fattura pagata con mandato n.282/2023 </t>
  </si>
  <si>
    <t>Centro di costo 510/001/006 - 2022 - CIG:913521383E - Servizio di predisposizione e recapito degli avvisi di pagamento, dei solleciti e di call center riguardante la riscossione dei contributi consortili anno 2022</t>
  </si>
  <si>
    <t>913521383E</t>
  </si>
  <si>
    <t>CIG:913521383E - Predisposizione e recapito solleciti di pagamento contributi consortili anno 2022</t>
  </si>
  <si>
    <t>EL-FO S.P.A.</t>
  </si>
  <si>
    <t>IT08R0200805364000110120312</t>
  </si>
  <si>
    <t>IT  000412</t>
  </si>
  <si>
    <t xml:space="preserve">IVA su fattura pagata con mandato n.283/2023 </t>
  </si>
  <si>
    <t>ritenute IRPEF su retribuzioni mese 01/2023 personale dipendente-pensionato - A MEZZO F24 TELEMATICO</t>
  </si>
  <si>
    <t>ritenute IRPEF su retribuzioni mese 01/2023 personale dipendente-pensionato, lav.autonomo</t>
  </si>
  <si>
    <t>Centro di costo 300/007/005 - 2022 - Fondo previdenza contrattuale</t>
  </si>
  <si>
    <t>saldo imposta sostitutiva su rivalutazione TFR 2022 (q.p.) - A MEZZO F24 TELEMATICO</t>
  </si>
  <si>
    <t>acconto imposta sostitutiva su rivalutazione TFR 2022 (q.p.) - A MEZZO F24 TELEMATICO</t>
  </si>
  <si>
    <t>ritenute IRPEF su lavoro autonomo 01/2023 - A MEZZO F24 TELEMATICO</t>
  </si>
  <si>
    <t>contributi su retribuzioni mese 01/2023 personale uffici-operai - A MEZZO F24 TELEMATICO</t>
  </si>
  <si>
    <t>contributi su retribuzioni mese 01/2023 personale uffici-operai e compensi Amm.ri</t>
  </si>
  <si>
    <t>contributi su retribuzioni mese 01/2023 personale dipendente - A MEZZO F24 TELEMATICO</t>
  </si>
  <si>
    <t>contributi su compensi mese 01/2023 Amministratori - A MEZZO F24 TELEMATICO</t>
  </si>
  <si>
    <t>contributi su retribuzioni mese 01/2023 personale uffici - A MEZZO F24 TELEMATICO</t>
  </si>
  <si>
    <t>contributi su retribuzioni mese 01/2023 personale uffici</t>
  </si>
  <si>
    <t>premio INAIL Presidente</t>
  </si>
  <si>
    <t>I.N.A.I.L.</t>
  </si>
  <si>
    <t>Versamento IVA da Split Payment anno 2022</t>
  </si>
  <si>
    <t>Versamento IVA da Split Payment mese 12/2022 - A MEZZO F24 TELEMATICO</t>
  </si>
  <si>
    <t>Versamento IVA da Split Payment mese 12/2022</t>
  </si>
  <si>
    <t>Versamento IVA da Split Payment anno 2023</t>
  </si>
  <si>
    <t>Versamento IVA da Split Payment mese 01/2023 - A MEZZO F24 TELEMATICO</t>
  </si>
  <si>
    <t>Versamento IVA da Split Payment mese 01/2023</t>
  </si>
  <si>
    <t>Compensi anno 2022 Amministratori consorziali</t>
  </si>
  <si>
    <t>Compenso anno 2022 Amministratore consorziale</t>
  </si>
  <si>
    <t>VIO</t>
  </si>
  <si>
    <t>MARIA CATERINA</t>
  </si>
  <si>
    <t>VIOMCT81B56H823K</t>
  </si>
  <si>
    <t>IT20R0306234210000002389473</t>
  </si>
  <si>
    <t>Centro di costo 305/001/001 - 2023 - Contribuenza associativa straordinaria anno 2022 e contribuenza associativa anno 2023</t>
  </si>
  <si>
    <t>acconto 50% contributo associativo anno 2023 e contribuenza straordinaria anno 2022</t>
  </si>
  <si>
    <t>PROT.1170</t>
  </si>
  <si>
    <t>acconto 50% contributo associativo anno 2023</t>
  </si>
  <si>
    <t>contributo associativo straordinario anno 2022</t>
  </si>
  <si>
    <t>Pedaggi autostradali del direttore generale per ragioni di servizio periodo 15/01 - 15/02/2023</t>
  </si>
  <si>
    <t>Fattura n.900004427D del 28/02/2023 - Pedaggi autostradali del direttore generale per ragioni di servizio periodo 15/01 - 15/02/2023</t>
  </si>
  <si>
    <t xml:space="preserve">IVA su fattura pagata con mandato n.302/2023 </t>
  </si>
  <si>
    <t>Quota associativa e canone promozionale</t>
  </si>
  <si>
    <t>Fattura n.900005672T del 28/02/2023 - Quota associativa e canone promozionale</t>
  </si>
  <si>
    <t xml:space="preserve">IVA su fattura pagata con mandato n.304/2023 </t>
  </si>
  <si>
    <t>addebito parcheggio 01/02/2023 effettuato dal direttore generale per ragioni di servizio</t>
  </si>
  <si>
    <t>SABA ITALIA S.P.A.</t>
  </si>
  <si>
    <t>Fattura n.86018505P del 28/02/2023 - addebito parcheggio 01/02/2023 effettuato dal direttore generale per ragioni di servizio</t>
  </si>
  <si>
    <t>CIG:Y0639A8334 - canone noleggio Peugeot GK290GD mese 02/2023</t>
  </si>
  <si>
    <t>Fattura n.VF023024518 del 01/02/2023 - CIG:Y0639A8334 - canone noleggio Peugeot GK290GD mese 02/2023</t>
  </si>
  <si>
    <t xml:space="preserve">IVA su fattura pagata con mandato n.307/2023 </t>
  </si>
  <si>
    <t>CIG:Y0639A8334 - canone noleggio Peugeot FW208EH, Panda GK321FS, GK325FS, GK334FS, GK335FS, GK809FW e Fiat Tipo GK393ZM mese 02/2023</t>
  </si>
  <si>
    <t>Fattura n.VF023033233 del 01/02/2023 - CIG:Y0639A8334 - canone noleggio Peugeot FW208EH, Panda GK321FS, GK325FS, GK334FS, GK335FS, GK809FW e Fiat Tipo GK393ZM mese 02/2023</t>
  </si>
  <si>
    <t>IVA su fattura pagata con mandato n.309/2023</t>
  </si>
  <si>
    <t>Fornitura gas metano sede Portogruaro mese 01/2023 (Q.P.Fattura)</t>
  </si>
  <si>
    <t>Fattura n.832300900721 del 08/02/2023 - Fornitura gas metano sede Portogruaro mese 01/2023</t>
  </si>
  <si>
    <t xml:space="preserve">IVA su fattura pagata con mandato n.310/2023 </t>
  </si>
  <si>
    <t>Centro di costo 460/001/001 - 2023 - CIG: - Fornitura gas metano da riscaldamento per l'esercizio della sede di Portogruaro</t>
  </si>
  <si>
    <t>Fornitura gas metano sede San Dona' di Piave mese 12/2022</t>
  </si>
  <si>
    <t>Fattura n.V120230000058132 del 12/01/2023 - Fornitura gas metano sede San Dona' di Piave mese 12/2022</t>
  </si>
  <si>
    <t>IVA su fattura pagata con mandato n.313/2023</t>
  </si>
  <si>
    <t>Fornitura acqua impianti idrovori vari anno 2022</t>
  </si>
  <si>
    <t>FATTURA N.2022170531 DEL 12/12/2022</t>
  </si>
  <si>
    <t>FATTURA N.2022174035 DEL 12/12/2022</t>
  </si>
  <si>
    <t>FATTURA N.2022175341 DEL 12/12/2022</t>
  </si>
  <si>
    <t>FATTURA N.2022196890 DEL 20/12/2022</t>
  </si>
  <si>
    <t>FATTURA N.2022197026 DEL 20/12/2022</t>
  </si>
  <si>
    <t>FATTURA N.2022190211 DEL 19/12/2022</t>
  </si>
  <si>
    <t>FATTURA N.2022197136 DEL 20/12/2022</t>
  </si>
  <si>
    <t>FATTURA N.2022197354 DEL 20/12/2022</t>
  </si>
  <si>
    <t xml:space="preserve">IVA su fattura pagata con mandato n.316/2023 </t>
  </si>
  <si>
    <t>FATTURA N.2022200792 DEL 28/12/2022</t>
  </si>
  <si>
    <t>FATTURA N.2022202636 DEL 28/12/2022</t>
  </si>
  <si>
    <t>FATTURA N.2022205150 DEL 28/12/2022</t>
  </si>
  <si>
    <t xml:space="preserve">IVA su fattura pagata con mandato n.318/2023 </t>
  </si>
  <si>
    <t>Centro di costo 433/001/001 - 433/002/001 - 433/003/001 - 433/004/001 - 2023 - Fornitura carburante presso le stazioni di servizio ENI per i veicoli consorziali - Ditta:ENI Spa - A 39.000,00</t>
  </si>
  <si>
    <t>YDD39ED350</t>
  </si>
  <si>
    <t>CIG:YDD39ED350 - fornitura carburante mezzi cons.li 1^ quindicina mese 01/2023</t>
  </si>
  <si>
    <t>ENI SUSTAINABLE MOBILITY S.P.A.</t>
  </si>
  <si>
    <t>Fattura n.29015806 del 17/01/2023  - CIG:YDD39ED350 - fornitura carburante mezzi cons.li 1^ quindicina mese 01/2023</t>
  </si>
  <si>
    <t xml:space="preserve">IVA su fattura pagata con mandato n.320/2023 </t>
  </si>
  <si>
    <t>Cento di costo 360/002/002 - 2023  - CIG:Y0B39F784C - Abbonamenti Aziende - Base Digital+ Quotidiano 'Il Gazzettino'</t>
  </si>
  <si>
    <t>Y0B39F784C</t>
  </si>
  <si>
    <t>CIG:Y0B39F784C - Abbonamenti Aziende - Base Digital + Quotidiano 'Il Gazzettino'</t>
  </si>
  <si>
    <t>CED DIGITAL &amp; SERVIZI S.R.L.</t>
  </si>
  <si>
    <t>X230000125</t>
  </si>
  <si>
    <t xml:space="preserve">IVA su fattura pagata con mandato n.321/2023 </t>
  </si>
  <si>
    <t>Centro di costo 490/001/001 - 2023  - Acquisti e servizi vari anticipati dall'economo consorziale</t>
  </si>
  <si>
    <t>Fornitura materiale consumo riparazione mezzi d'opera</t>
  </si>
  <si>
    <t>GENERAL PRESS DI DAL MORO FABRIZIO</t>
  </si>
  <si>
    <t>DLMFRZ74T05G914D</t>
  </si>
  <si>
    <t>112/V1</t>
  </si>
  <si>
    <t xml:space="preserve">IVA su fattura pagata con mandato n.322/2023 </t>
  </si>
  <si>
    <t>Centro di costo 402/016/001 - 2021 - Programma generale di sviluppo progetti per interventi derivanti dai Piani delle Acque (Delibera CDA 63 C21) - Affidamento professionale per redazione di progetto di fattibilità tecnico-economica</t>
  </si>
  <si>
    <t>SPESE PER OO.PP. FINANZIATE DA PROVINCIE E COMUNI</t>
  </si>
  <si>
    <t>8826957B57</t>
  </si>
  <si>
    <t>CUP:C77H21001890005 - CIG:8826957B57 - Lotto 6 - saldo redazione progetto fattibilita' tecnico-economica - Programma generale sviluppo progetti interventi derivanti dai Piani delle Acque - C.M.1203</t>
  </si>
  <si>
    <t>INGEGNERIA 2P E ASSOCIATI S.R.L.</t>
  </si>
  <si>
    <t>IT13E0617536285000000053280</t>
  </si>
  <si>
    <t xml:space="preserve">IVA su fattura pagata con mandato n.323/2023 </t>
  </si>
  <si>
    <t>MARCHESIN</t>
  </si>
  <si>
    <t>MRCMHL67T02F770V</t>
  </si>
  <si>
    <t>IT20S0103061840000001066540</t>
  </si>
  <si>
    <t>73/A</t>
  </si>
  <si>
    <t>Ritenuta d'acconto IRPEF su compenso corrisposto su mandato n.324/2023</t>
  </si>
  <si>
    <t>DOTT.URB. MARCO FASAN</t>
  </si>
  <si>
    <t>FSNMRC74P13L736V</t>
  </si>
  <si>
    <t>IT65V0200802023000040424120</t>
  </si>
  <si>
    <t>Ritenuta d'acconto IRPEF su compenso corrisposto su mandato n.325/2023</t>
  </si>
  <si>
    <t>CdC 395/003/004 - 2019 - CUP:C83H19000020001 - CIG:ZE029A17C5 - Tempesta Vaia - Servizio di Direzione in fase di esecuzione (Direttore Lavori, Direttore Operativo) e Coordinamento della sicurezza in fase di esecuzione nellOambito dei lavori:CM 1166 Adeguamento delle quote arginali di difesa dalle acque esterne, diaframmatura dei tratti soggetti ad infiltrazioni e realizzazione percorsi fruitivi: Litoranea Veneta e canali afferenti alla Laguna di Caorle-Bibione: Lugugnana Vecchio in destra idraulica - DL E CSE</t>
  </si>
  <si>
    <t>ZE029A17C5</t>
  </si>
  <si>
    <t>O.C.05 del 02/04/19 - CBVO_N03 - CUP:C83H19000020001 - CIG:ZE029A17C5 - Saldo DL-DO-CSE adeg.quote arginali difesa, diaframm.tratti soggetti ad infiltrazioni e realizzaz.percorsi fruitivi: Litoranea Veneta e canali afferenti Laguna Caorle-Bibione: Lugugnana Vecchio - Tempesta Vaia - C.M.1166</t>
  </si>
  <si>
    <t>IT48O0538736285000047510494</t>
  </si>
  <si>
    <t xml:space="preserve">IVA su fattura pagata con mandato n.326/2023 </t>
  </si>
  <si>
    <t>Centro di costo 395/003/002 - 2021 - CIG:Y3B347B7FD - CM 1166 - CUP:C83H19000020001_LN 145-2021-D-VE-379 - CBVO-N03 - Adeg. delle quote arginali di difesa esterne, diafram. dei tratti soggetti ad infiltrazioni e realizz. percorsi fruitivi: Litoranea Veneta e canali afferenti alla Laguna di Caorle-Bibione - OCDPC n. 558/2018 - Nota Soggetto Attuatore SPI prot. 542364 del 18/11/2021 - Lavorazioni di completamento - Redazione perizia suppletiva e di variante, Direzione lavori e coordinamento della sicurezza in fase di progettazione e esecuzione lavori</t>
  </si>
  <si>
    <t>Y3B347B7FD</t>
  </si>
  <si>
    <t>O.C.05 del 02/04/19 - CBVO_N03 - CUP:C83H19000020001 - CIG:Y3B347B7FD - saldo incarico PV-DL-CSP-CSE adeg.quote arginali difesa, diaframm.tratti soggetti ad infiltrazioni e realizzaz.percorsi fruitivi: Litoranea Veneta e canali afferenti Laguna Caorle-Bibione: Lugugnana Vecchio - OCDPC 558/2018 - Tempesta Vaia - C.M.1166</t>
  </si>
  <si>
    <t xml:space="preserve">IVA su fattura pagata con mandato n.327/2023 </t>
  </si>
  <si>
    <t>CdC 395/016/001 - CM 1191 - CIG:9242670C8F_CUP:C95H20000030001_O.C.D.P.C. n.622 del 17/12/2019 - O.C.D.P.C. n.819 del 04/02/2022 -  O.C. n. 4 del 14/12/2020 - Ripristino funz.tà idraulico/strutturale delle chiaviche consorziali lungo il canale lagunare Pordelio in Comune di Cavallino-Treporti 1o str.-Chiavica San Marco - Fornitura e posa di opere in carpenteria metallica e delle opere civili accessorie e incarico di progettazione esecutiva/costruttiva</t>
  </si>
  <si>
    <t>9242670C8F</t>
  </si>
  <si>
    <t>O.C.04 del 14/12/2020 - CUP:C95H20000030001 - CIG:9242670C8F - Incarico PE/costruttiva fornitura e posa di opere in carpenteria metallica e accessorie - ripristino funz.ta' chiaviche cons.li lungo canale Pordelio - Cavallino-Treporti 1^ str.-Chiavica San Marco - OCDPC n.622/2019 - n.819/2022 - CM 1191</t>
  </si>
  <si>
    <t>ZANIN</t>
  </si>
  <si>
    <t>DOTT. ING. GIUSEPPE</t>
  </si>
  <si>
    <t>ZNNGPP61A17E215I</t>
  </si>
  <si>
    <t>IT25S0306936243074000175370</t>
  </si>
  <si>
    <t>O.C. n. 4 del 14/12/2020 - CUP:C95H20000030001 - CIG:9242670C8F - Incarico PE/costruttiva fornitura e posa di opere in carpenteria metallica e accessorie - ripristino funz.ta' chiaviche cons.li lungo canale Pordelio - Cavallino-Treporti 1^ str.-Chiavica San Marco - OCDPC n.622/2019 - n.819/2022 - CM 1191</t>
  </si>
  <si>
    <t>Ritenuta d'acconto IRPEF su compenso corrisposto su mandato n.328/2023</t>
  </si>
  <si>
    <t>Centro di costo 485/005/018 - 2022 - CIG:YF3379DCDB - Fornitura ricambi per la riparazione dell'escavatore cingolato E245C</t>
  </si>
  <si>
    <t>YF3379DCDB</t>
  </si>
  <si>
    <t>CIG:YF3379DCDB - Fornitura ricambi per la riparazione dell'escavatore cingolato E245C</t>
  </si>
  <si>
    <t>OFFICINA MECCANICA BALDO DI BALDO LUCA</t>
  </si>
  <si>
    <t>IT70X0623036090000015116555</t>
  </si>
  <si>
    <t>621/2022</t>
  </si>
  <si>
    <t xml:space="preserve">IVA su fattura pagata con mandato n.329/2023 </t>
  </si>
  <si>
    <t>Centro di costo 440/001/061 - 2022 - PROC. N.G01391_CIG:Y63391568E - Fornitura idroguida completa per escavatore Case WX168</t>
  </si>
  <si>
    <t>Y63391568E</t>
  </si>
  <si>
    <t>CIG:Y63391568E - Fornitura idroguida completa per escavatore Case WX168</t>
  </si>
  <si>
    <t>IT52N0533636090000030323356</t>
  </si>
  <si>
    <t>646/2022</t>
  </si>
  <si>
    <t xml:space="preserve">IVA su fattura pagata con mandato n.330/2023 </t>
  </si>
  <si>
    <t>Centro di costo 440/001/055 - 2022 - CIG:Y7238E8DE0 - Q.P.Riparazione escavatore cingolato NH E245C (impianto di iniezione)</t>
  </si>
  <si>
    <t>Y7238E8DE0</t>
  </si>
  <si>
    <t>CIG:Y7238E8DE0 - Riparazione impianto iniezione escavatore cingolato NH E245C (Q.P.Fattura)</t>
  </si>
  <si>
    <t>643/2022</t>
  </si>
  <si>
    <t>CIG:Y7238E8DE0 - Riparazione impianto iniezione escavatore cingolato NH E245C</t>
  </si>
  <si>
    <t xml:space="preserve">IVA su fattura pagata con mandato n.331/2023 </t>
  </si>
  <si>
    <t>Centro di costo 440/001/059 - 2022 - CIG:Y5A3911A48 - Riparazione escavatore gommato Case WX 168 (diagnostica impianto idraulico)</t>
  </si>
  <si>
    <t>Y5A3911A48</t>
  </si>
  <si>
    <t>CIG:Y5A3911A48 - Riparazione escavatore gommato Case WX 168 (diagnostica impianto idraulico)</t>
  </si>
  <si>
    <t>642/2022</t>
  </si>
  <si>
    <t xml:space="preserve">IVA su fattura pagata con mandato n.333/2023 </t>
  </si>
  <si>
    <t>CIG:8768590560 - somministrazione pasti personale dipendente mese 01/2023</t>
  </si>
  <si>
    <t>M85538</t>
  </si>
  <si>
    <t xml:space="preserve">IVA su fattura pagata con mandato n.334/2023 </t>
  </si>
  <si>
    <t>Centro di costo 375/001/001 - 2023 - CIG:9291037647 - Servizio di pulizia delle sedi consorziali site nei Comuni di Portogruaro e San Donà di Piave</t>
  </si>
  <si>
    <t>CIG:9291037647 - servizio pulizia sedi Portogruaro e S.Dona' di Piave mese 01/2023</t>
  </si>
  <si>
    <t>9/A</t>
  </si>
  <si>
    <t xml:space="preserve">IVA su fattura pagata con mandato n.335/2023 </t>
  </si>
  <si>
    <t>Centro di costo 379/001/033 - 2022 - CIG:Y3C38FEB13 - Rinnovo canone annuale piattaforma software di gestione 'whistleblowwing' per la segnalazione illeciti P.A.</t>
  </si>
  <si>
    <t>Y3C38FEB13</t>
  </si>
  <si>
    <t>CIG:Y3C38FEB13 - Rinnovo canone annuale piattaforma software gestione 'whistleblowwing' segnalazione illeciti P.A.</t>
  </si>
  <si>
    <t>DIGITALPA S.R.L.</t>
  </si>
  <si>
    <t>IT91I0306904857100000009361</t>
  </si>
  <si>
    <t>E/207</t>
  </si>
  <si>
    <t xml:space="preserve">IVA su fattura pagata con mandato n.336/2023 </t>
  </si>
  <si>
    <t>Centro di costo 379/003/011 - 2021 - CIG:Z07265C201 - Quota canone noleggio e copie prodotte multifunzione Olivetti - Sede di Portogruaro</t>
  </si>
  <si>
    <t>Z07265C201</t>
  </si>
  <si>
    <t>CIG:Z07265C201 - Canone noleggio multifunzione in bianco/nero per Piano Amministrativo sede Portogruaro - Periodo 01/10-31/12/2022</t>
  </si>
  <si>
    <t>OLIVETTI S.P.A.</t>
  </si>
  <si>
    <t>IT56O0306930540100000065552</t>
  </si>
  <si>
    <t>A20020221000048145</t>
  </si>
  <si>
    <t xml:space="preserve">IVA su fattura pagata con mandato n.337/2023 </t>
  </si>
  <si>
    <t>CIG:Z07265C201 - Canone noleggio multifunzione in bianco/nero per Piano Amministrativo sede Portogruaro - Periodo 01/01-12/02/2023 (Q.P.Fattura)</t>
  </si>
  <si>
    <t>A20020231000002589</t>
  </si>
  <si>
    <t>CIG:Z07265C201-YEB39A9E9C - Canone noleggio multifunzione in bianco/nero per Piano Amministrativo sede Portogruaro - Periodo 01/01-12/02/2023</t>
  </si>
  <si>
    <t xml:space="preserve">IVA su fattura pagata con mandato n.338/2023 </t>
  </si>
  <si>
    <t>Centro di costo 379/003/001 - 2023 - CIG:YEB39A9E9C - Proroga contratto di noleggio multifunzione Olivetti - Primo piano Sede di Portogruaro</t>
  </si>
  <si>
    <t>YEB39A9E9C</t>
  </si>
  <si>
    <t>CIG:YEB39A9E9C - Canone noleggio multifunzione in bianco/nero per Piano Amministrativo sede Portogruaro - Periodo 01/01-12/02/2023 (Q.P.Fattura)</t>
  </si>
  <si>
    <t>Centro di costo 379/003/015 - 2021 - CIG:Y6034B966E - Per proroga contratto noleggio multifunzione Kyocera Sede di San Donà primo piano Quota per parte annualità</t>
  </si>
  <si>
    <t>Y6034B966E</t>
  </si>
  <si>
    <t>CIG:Y6034B966E - canone utilizzo multifunzione fotocopiatrice TASKalfa 5052ci sede San Dona' di Piave primo piano - Periodo 21/10/2022 - 20/01/2023</t>
  </si>
  <si>
    <t>KYOCERA DOCUMENT SOLUTIONS ITALIA S.P.A.</t>
  </si>
  <si>
    <t>IT61A0200805364000030004088</t>
  </si>
  <si>
    <t xml:space="preserve">IVA su fattura pagata con mandato n.340/2023 </t>
  </si>
  <si>
    <t>Centro di costo 379/003/011 - 2022 - CIG:Y9D3964071 - Per proroga contratto noleggio multifunzione Kyocera - Sede di San Donà primo piano - Periodo anno 2023</t>
  </si>
  <si>
    <t>Y9D3964071</t>
  </si>
  <si>
    <t>CIG:Y9D3964071 - Conteggio copie eccedenti multifunzione fotocopiatrice TASKalfa 5052ci sede San Dona' di Piave primo piano - Periodo 21/01/2022 - 20/01/2023 (Q.P.Fattura)</t>
  </si>
  <si>
    <t>CIG:Y9D3964071-Y6034B966E - Conteggio copie eccedenti multifunzione fotocopiatrice TASKalfa 5052ci sede San Dona' di Piave primo piano - Periodo 21/01/2022 - 20/01/2023</t>
  </si>
  <si>
    <t xml:space="preserve">IVA su fattura pagata con mandato n.341/2023 </t>
  </si>
  <si>
    <t>CIG:Y6034B966E - Conteggio copie eccedenti multifunzione fotocopiatrice TASKalfa 5052ci sede San Dona' di Piave primo piano - Periodo 21/01/2022 - 20/01/2023 (Q.P.Fattura)</t>
  </si>
  <si>
    <t>Centro di costo 379/003/004 - 2022 - CIG:Z002E32E78- Canone per una annualità di noleggio di due multifunzione a colori per le Sedi - Convenzione Consip</t>
  </si>
  <si>
    <t>Z002E32E78</t>
  </si>
  <si>
    <t>CIG:Z002E32E78 - Canone noleggio e copie prodotte su n.2 multifunzione a colori TASKalfa 5053ci - periodo 07/11/2022-06/02/2023</t>
  </si>
  <si>
    <t>IT10H0306933461100000008484</t>
  </si>
  <si>
    <t>IVA su fattura pagata con mandato n.343/2023</t>
  </si>
  <si>
    <t>Centro di costo 379/003/014 - 2021 - CIG:Z08265C246 - Quota canone noleggio e copie prodotte multifunzione a colori Kyocera - Sede di Portogruaro secondo piano</t>
  </si>
  <si>
    <t>Z08265C246</t>
  </si>
  <si>
    <t>CIG:Z08265C246 - canone utilizzo multifunzione fotocopiatrice TASKalfa 4052ci Piano Tecnico - Sede Portogruaro - periodo 12/11/2022-11/02/2023</t>
  </si>
  <si>
    <t>IT89Q0200805364000105301180</t>
  </si>
  <si>
    <t xml:space="preserve">IVA su fattura pagata con mandato n.344/2023 </t>
  </si>
  <si>
    <t>Centro di costo 379/003/006 - 2022 - Imp.345/2022 - CIG:ZEA21808C4 - Canone previsto per tre trimestri per noleggio e copie prodotte multifunzione in b/n SHARP - Sede di Portogruaro - in proroga convenzione di un ulteriore anno</t>
  </si>
  <si>
    <t>ZEA21808C4</t>
  </si>
  <si>
    <t>CIG:ZEA21808C4 - canone utilizzo fotocopiatrice con tecnologia B/N - Ufficio Catasto sede Portogruaro - Periodo 19/10/2022-18/01/2023</t>
  </si>
  <si>
    <t>SHARP ELECTRONICS ITALIA S.P.A.</t>
  </si>
  <si>
    <t>IT42U0200805364000002201014</t>
  </si>
  <si>
    <t xml:space="preserve">IVA su fattura pagata con mandato n.345/2023 </t>
  </si>
  <si>
    <t>Centro di costo 375/002/001 - 2023 - CIG:YC0398D6DE - Vigilanza notturna sede di San Donà di Piave</t>
  </si>
  <si>
    <t>YC0398D6DE</t>
  </si>
  <si>
    <t>CIG:YC0398D6DE - Vigilanza notturna sede San Dona' di Piave I trimestre 2023</t>
  </si>
  <si>
    <t>AXITEA S.P.A.</t>
  </si>
  <si>
    <t>IT43F0627002407CC0070000353</t>
  </si>
  <si>
    <t xml:space="preserve">IVA su fattura pagata con mandato n.346/2023 </t>
  </si>
  <si>
    <t>Centro di costo 380/003/011 - 2022 - CIG:903852284E - Canoni per le connessioni internet in fibra delle Sedi - Quota parte anno 2022</t>
  </si>
  <si>
    <t>903852284E</t>
  </si>
  <si>
    <t>CIG:903852284E - Canoni connessioni internet in fibra delle Sedi - Periodo 01/02-31/03/2023</t>
  </si>
  <si>
    <t>FASTWEB S.P.A.</t>
  </si>
  <si>
    <t>IT86H0310401607000000770014</t>
  </si>
  <si>
    <t>LA00025400</t>
  </si>
  <si>
    <t>IVA su fattura pagata con mandato n.347/2023</t>
  </si>
  <si>
    <t>CIG:YF238C1B8A - Fornitura attrezzatura e materiale di consumo manutenzione manufatti e mezzi consorziali (Q.P.Fattura)</t>
  </si>
  <si>
    <t>175/EL</t>
  </si>
  <si>
    <t>CIG:YF238C1B8A-Y3F37E4000 - Fornitura attrezzatura e materiale di consumo manutenzione manufatti e mezzi consorziali</t>
  </si>
  <si>
    <t xml:space="preserve">IVA su fattura pagata con mandato n.348/2023 </t>
  </si>
  <si>
    <t>Centro di costo 425/002/025 - 2022 - CIG:Y3F37E4000 - Fornitura materiale ed attrezzatura necessaria alla riparazione del nastro sgrigliatore dell'impianto di Valle Tagli</t>
  </si>
  <si>
    <t>Y3F37E4000</t>
  </si>
  <si>
    <t>CIG:Y3F37E4000 - Fornitura materiale ed attrezzatura riparazione nastro sgrigliatore impianto Valle Tagli (Q.P.Fattura)</t>
  </si>
  <si>
    <t>Centro di costo 425/005/006 - 2022 - CIG:Y8638E8976 - Fornitura cuscinetti per la Postazione Baroncolo</t>
  </si>
  <si>
    <t>Y8638E8976</t>
  </si>
  <si>
    <t>CIG:Y8638E8976 - Fornitura cuscinetti per la Postazione Baroncolo</t>
  </si>
  <si>
    <t>CASA DEL CUSCINETTO S.R.L.</t>
  </si>
  <si>
    <t>IT25Q0835612502000000007937</t>
  </si>
  <si>
    <t xml:space="preserve">IVA su fattura pagata con mandato n.350/2023 </t>
  </si>
  <si>
    <t>Centri di costo 440/001/004 - 445/001/001 - 2022 - CIG:Y3D301CC1C - Q.P. Fornitura e montaggio pneumatici per mezzi d'opera e automezzi</t>
  </si>
  <si>
    <t>Y3D301CC1C</t>
  </si>
  <si>
    <t>CIG:Y3D301CC1C - Fornitura e montaggio pneumatici per mezzi d'opera e automezzi</t>
  </si>
  <si>
    <t>SACCON GOMME</t>
  </si>
  <si>
    <t>IT11Y0503461620000000000602</t>
  </si>
  <si>
    <t>202204504/DIF</t>
  </si>
  <si>
    <t xml:space="preserve">IVA su fattura pagata con mandato n.351/2023 </t>
  </si>
  <si>
    <t>CIG:Y3D301CC1C - Fornitura e montaggio pneumatici per mezzi d'opera e automezzi (Q.P.Fattura)</t>
  </si>
  <si>
    <t>202204635/DIF</t>
  </si>
  <si>
    <t xml:space="preserve">IVA su fattura pagata con mandato n.352/2023 </t>
  </si>
  <si>
    <t>202300059/DIF</t>
  </si>
  <si>
    <t xml:space="preserve">IVA su fattura pagata con mandato n.354/2023 </t>
  </si>
  <si>
    <t>202300232/DIF</t>
  </si>
  <si>
    <t>Centro di costo 320/001/001 - 2022 - CIG:Y2F394134D - Spese di consulenza e legali Avv. Petra Giacomini</t>
  </si>
  <si>
    <t>Y2F394134D</t>
  </si>
  <si>
    <t>CIG:Y2F394134D - Acconto per causa civile avanti il TAR Veneto per recupero credito contributo Consorzio Cellina Meduna</t>
  </si>
  <si>
    <t>Ritenuta d'acconto IRPEF su compenso corrisposto su mandato n.355/2023</t>
  </si>
  <si>
    <t>CIG:Y2F394134D - Saldo per ricorso avanti la CTP di Venezia R.g. n. 210/22 (Imu 2016)</t>
  </si>
  <si>
    <t>Ritenuta d'acconto IRPEF su compenso corrisposto su mandato n.356/2023</t>
  </si>
  <si>
    <t>CIG:8085249E88 - Conguaglio 2022 premio assicurativo polizza infortuni Generali n.390880377 e conguaglio polizza UnipolSai n.178407163 'impianti ed apparecchiature elettroniche'</t>
  </si>
  <si>
    <t>CIG:8085249E88 - Conguaglio 2022 premio assicurativo polizza infortuni Generali n.390880377</t>
  </si>
  <si>
    <t>AVVISO SCADENZA</t>
  </si>
  <si>
    <t>CIG:8085249E88 - Conguaglio premio 2022 polizza UnipolSai n.178407163 'impianti ed apparecchiature elettroniche'</t>
  </si>
  <si>
    <t>Centro di costo 310/002/001 - 2023 - CIG:Y773A2C237 - Corso 'la revisione dei prezzi contrattuali per le opere pubbliche...'</t>
  </si>
  <si>
    <t>Y773A2C237</t>
  </si>
  <si>
    <t>CIG:Y773A2C237 - Corso 'la revisione dei prezzi contrattuali per le opere pubbliche e i prezzari regionali'</t>
  </si>
  <si>
    <t>FONDAZIONE INGEGNERI VENEZIANI</t>
  </si>
  <si>
    <t>IT41J0306902113100000002324</t>
  </si>
  <si>
    <t>O.D.106</t>
  </si>
  <si>
    <t>Centro di costo 440/001/011 - 2023 - CIG:YA939ED8E8 - Q.P. Fornitura ricambi e interventi di riparazione per i mezzi d'opera (escavatori e trattori)</t>
  </si>
  <si>
    <t>YA939ED8E8</t>
  </si>
  <si>
    <t>CIG:YA939ED8E8 - Fornitura ricambi riparazione escavatori e trattori (Q.P.Fattura)</t>
  </si>
  <si>
    <t>000184/D</t>
  </si>
  <si>
    <t>CIG:YA939ED8E8-YDA3999539 - Fornitura ricambi riparazione mezzi d'opera (escavatori e trattori)</t>
  </si>
  <si>
    <t xml:space="preserve">IVA su fattura pagata con mandato n.359/2023 </t>
  </si>
  <si>
    <t>CIG:YDA3999539 - Fornitura ricambi riparazione escavatori e trattori (Q.P.Fattura)</t>
  </si>
  <si>
    <t>CIG:YDA3999539 - Fornitura ricambi e riparazioni mezzi d'opera</t>
  </si>
  <si>
    <t>000111/D</t>
  </si>
  <si>
    <t xml:space="preserve">IVA su fattura pagata con mandato n.361/2023 </t>
  </si>
  <si>
    <t>000112/D</t>
  </si>
  <si>
    <t>Centro di costo 425/001/006 - 2022 - CIG:Y1C361027E - Lavorazioni di tornitura su n. 100 ruote dentate in ghisa per traino nastri trasportatori</t>
  </si>
  <si>
    <t>Y1C361027E</t>
  </si>
  <si>
    <t>CIG:Y1C361027E - Lavorazioni di tornitura su n.100 ruote dentate in ghisa per traino nastri trasportatori (Q.P.Fattura)</t>
  </si>
  <si>
    <t>TECNOLOGICA INGRANAGGI SNC</t>
  </si>
  <si>
    <t>IT66D0835661600000000012059</t>
  </si>
  <si>
    <t>CIG:Y1C361027E-Y1638A8623 - Lavorazioni di tornitura su n.100 ruote dentate in ghisa per traino nastri trasportatori e lavorazione boccole elicopompa Postazione Baroncolo</t>
  </si>
  <si>
    <t xml:space="preserve">IVA su fattura pagata con mandato n.362/2023 </t>
  </si>
  <si>
    <t>Centro di costo 490/001/023 - 2022 - CIG:Y1638A8623 - Lavorazione boccole elicopompa Postazione Baroncolo</t>
  </si>
  <si>
    <t>Y1638A8623</t>
  </si>
  <si>
    <t>CIG:Y1638A8623 - Lavorazione boccole elicopompa Postazione Baroncolo (Q.P.Fattura)</t>
  </si>
  <si>
    <t>Centro di costo 425/001/029 - 2022 - Imp.551/2022 - CIG.Y7537F69E9 - Fornitura catena con giunzioni necessari alla riparazione dello sgrigliatore dell'impianto San Giusto - Ditta:Costruzioni Meccaniche Paulitti Sas - A 512,40</t>
  </si>
  <si>
    <t>Y7537F69E9</t>
  </si>
  <si>
    <t>CIG.Y7537F69E9 - Fornitura catena con giunzioni riparazione sgrigliatore dell'impianto San Giusto</t>
  </si>
  <si>
    <t>C.M.P. CARROZZERIE METALLICHE PAULITTI DI MARIO PAULITTI E FIGLI S.N.C.</t>
  </si>
  <si>
    <t>IT08N0863763790006000004312</t>
  </si>
  <si>
    <t xml:space="preserve">IVA su fattura pagata con mandato n.364/2023 </t>
  </si>
  <si>
    <t>Centro di costo 378/001/001 - 2023 - CIG:YF639B435A - Acquisizione di tablet e cover per gruppo Sorveglianti</t>
  </si>
  <si>
    <t>YF639B435A</t>
  </si>
  <si>
    <t>CIG:YF639B435A - Acquisizione di tablet e cover per gruppo Sorveglianti</t>
  </si>
  <si>
    <t>SME S.P.A.</t>
  </si>
  <si>
    <t>IT40M0623036281000015095792</t>
  </si>
  <si>
    <t>e03 772</t>
  </si>
  <si>
    <t xml:space="preserve">IVA su fattura pagata con mandato n.365/2023 </t>
  </si>
  <si>
    <t>Centro di costo 470/001/017 - 2022 - CIG:Y7F38A801F - Fornitura n.10 sedie operative con braccioli per uffici</t>
  </si>
  <si>
    <t>Y7F38A801F</t>
  </si>
  <si>
    <t>CIG:Y7F38A801F - Fornitura n.10 sedie operative con braccioli per uffici</t>
  </si>
  <si>
    <t>GALASSIA INTERIOR DESIGN S.R.L.</t>
  </si>
  <si>
    <t>IT83O0890463910060014011252</t>
  </si>
  <si>
    <t xml:space="preserve">IVA su fattura pagata con mandato n.366/2023 </t>
  </si>
  <si>
    <t>Centro di costo 379/001/034 - 2022 - CIG:Y4538FFE2B - Canone annuale per rinnovo dei servizi SmartNet NRKT Full GNSS - servizi installati sui due rover Leica</t>
  </si>
  <si>
    <t>Y4538FFE2B</t>
  </si>
  <si>
    <t>CIG:Y4538FFE2B - Canone annuale per rinnovo dei servizi SmartNet NRKT Full GNSS - servizi installati sui due rover Leica</t>
  </si>
  <si>
    <t>LEICA GEOSYSTEMS S.P.A.</t>
  </si>
  <si>
    <t>IT44G0100520300000000000297</t>
  </si>
  <si>
    <t xml:space="preserve">IVA su fattura pagata con mandato n.367/2023 </t>
  </si>
  <si>
    <t>Centro di costo 379/001/036 - 2022 - CIG:YA13962EE4 - Contratto di manutenzione ed assistenza software STR Vision CPM - Periodo 01/01 - 31/12 2023</t>
  </si>
  <si>
    <t>YA13962EE4</t>
  </si>
  <si>
    <t>CIG:YA13962EE4 - Rinnovo contratto manutenzione ed assistenza software STR Vision CPM - Periodo 01/01 - 31/12/2023</t>
  </si>
  <si>
    <t>DATAPIANO S.R.L.</t>
  </si>
  <si>
    <t>IT59K0306936283074000101760</t>
  </si>
  <si>
    <t xml:space="preserve">IVA su fattura pagata con mandato n.368/2023 </t>
  </si>
  <si>
    <t>Centro di costo 440/001/063 - 2022 - CIG:YEE393AFCA - Fornitura pompa e materiale oleodinamico per sgrigliatore impianto Villanova della Cartera e mezzi d'opera</t>
  </si>
  <si>
    <t>YEE393AFCA</t>
  </si>
  <si>
    <t>CIG:YEE393AFCA - Fornitura pompa e mat.oleodinamico per sgrigliatore imp.Villanova della Cartera e mezzi d'opera</t>
  </si>
  <si>
    <t>TECNOIL S.R.L.</t>
  </si>
  <si>
    <t>IT20V0306936243100000004266</t>
  </si>
  <si>
    <t>000884/22</t>
  </si>
  <si>
    <t>CIG:YEE393AFCA - Fornitura mat.oleodinamico mezzi d'opera</t>
  </si>
  <si>
    <t xml:space="preserve">IVA su fattura pagata con mandato n.369/2023 </t>
  </si>
  <si>
    <t>000959/22</t>
  </si>
  <si>
    <t>CIG:YEE393AFCA - Fornitura pompa per sgrigliatore imp.Villanova della Cartera</t>
  </si>
  <si>
    <t>Centri di costo 440/002/007 e 445/002/001 - 2022 - CIG:Y74351B0CE - Fornitura ricambi per automezzi del Consorzio</t>
  </si>
  <si>
    <t>Y74351B0CE</t>
  </si>
  <si>
    <t>CIG:Y74351B0CE - Fornitura ricambi per automezzi del Consorzio</t>
  </si>
  <si>
    <t>CAPPELLOZZA RICAMBI S.R.L.</t>
  </si>
  <si>
    <t>IT71I0896536240003001071427</t>
  </si>
  <si>
    <t>A394</t>
  </si>
  <si>
    <t xml:space="preserve">IVA su fattura pagata con mandato n.370/2023 </t>
  </si>
  <si>
    <t>A433</t>
  </si>
  <si>
    <t>A14</t>
  </si>
  <si>
    <t xml:space="preserve">IVA su fattura pagata con mandato n.371/2023 </t>
  </si>
  <si>
    <t>Centro di costo 425/002/015 - 2022 - CIG:Y513657756 - Fornitura materiale vario necessario alla costruzione di paratoie, griglie ecc... per i manufatti consoziali</t>
  </si>
  <si>
    <t>Y513657756</t>
  </si>
  <si>
    <t>CIG:Y513657756 - Fornitura materiale vario costruzione di paratoie e griglie per i manufatti consorziali</t>
  </si>
  <si>
    <t>COLORIFICIO POSTUMIA SNC</t>
  </si>
  <si>
    <t>IT19P0623061860000015044583</t>
  </si>
  <si>
    <t>2174-2022</t>
  </si>
  <si>
    <t xml:space="preserve">IVA su fattura pagata con mandato n.372/2023 </t>
  </si>
  <si>
    <t>Centro di costo 420/004/012 - 2022 - CIG:YC43911C61 - Fornitura materiale vario necessario alla manutenzione dei manufatti consorziali</t>
  </si>
  <si>
    <t>YC43911C61</t>
  </si>
  <si>
    <t>CIG:YC43911C61 - Fornitura materiale vario manutenzione dei manufatti consorziali</t>
  </si>
  <si>
    <t>GEROLIN SECONDIANO S.N.C. DI GEROLIN S. &amp; C.</t>
  </si>
  <si>
    <t>IT24Z0306936070074000104420</t>
  </si>
  <si>
    <t>V00001748</t>
  </si>
  <si>
    <t xml:space="preserve">IVA su fattura pagata con mandato n.373/2023 </t>
  </si>
  <si>
    <t>Centro di costo 485/001/001 - 2022 - CIG:9011598DE9 -  Fornitura di materiale inerte di fiume o cava per lo stendimento lungo le strade consorziali</t>
  </si>
  <si>
    <t>9011598DE9</t>
  </si>
  <si>
    <t>CIG:9011598DE9 -  Fornitura materiale inerte di fiume o cava per lo stendimento lungo le strade consorziali</t>
  </si>
  <si>
    <t>RE ALDO &amp; C. SRL</t>
  </si>
  <si>
    <t>IT62C0533636120000043149134</t>
  </si>
  <si>
    <t>0220/22</t>
  </si>
  <si>
    <t xml:space="preserve">IVA su fattura pagata con mandato n.374/2023 </t>
  </si>
  <si>
    <t>0008/23</t>
  </si>
  <si>
    <t>Centro di costo 470/001/005 - 2022 - CIG:Y2E34EDA0A - Avviamento e manutenzione dell'impianto di condizionamento sede di san Donà</t>
  </si>
  <si>
    <t>Y2E34EDA0A</t>
  </si>
  <si>
    <t>CIG:Y2E34EDA0A - Avviamento e manutenzione impianto condizionamento sede San Dona' di PIave</t>
  </si>
  <si>
    <t>FRIGONORD DI ROSATO ANDREA &amp; C. S.A.S.</t>
  </si>
  <si>
    <t>IT18D0548436280CC0691000077</t>
  </si>
  <si>
    <t xml:space="preserve">IVA su fattura pagata con mandato n.375/2023 </t>
  </si>
  <si>
    <t>Centro di costo 440/001/056 - 2022  - CIG:YAB38E8C92 - Fornitura n.4 cinghie per la trincia 'Berti' installata sulla macchina operatrice Energreen</t>
  </si>
  <si>
    <t>YAB38E8C92</t>
  </si>
  <si>
    <t>CIG:YAB38E8C92 - Fornitura n.4 cinghie per la trincia 'Berti' installata sulla macchina operatrice Energreen</t>
  </si>
  <si>
    <t>RINALDINGROUP S.R.L.</t>
  </si>
  <si>
    <t>IT88T0200861860000105304552</t>
  </si>
  <si>
    <t xml:space="preserve">IVA su fattura pagata con mandato n.376/2023 </t>
  </si>
  <si>
    <t>Centro di costo 395/012/004 - 2020 - CM 1183 - CIG:Z812DD2A9B- CUP: J13H19001190001 - Completamento delle opere di salvaguardia del centro abitato di Gruaro argini Versiola - Servizio di D.L., D.O. e CSE - Ditta:Costituendo RTP Ing. Andrea de Götzen/Ing. Stefano Zorba</t>
  </si>
  <si>
    <t>Z812DD2A9B</t>
  </si>
  <si>
    <t>O.C.04 del 21/04/2020 - CBVO-3-2020 - CUP: J13H19001190001 - CIG:Z812DD2A9B - 3^ acconto DL completamento opere di salvaguardia centro abitato di Gruaro argini Versiola - OCDP 558/2018-836/2022 - Tempesta Vaia - contratto 07/12/2020 - C.M.1183</t>
  </si>
  <si>
    <t>DE GOTZEN</t>
  </si>
  <si>
    <t>ANDREA</t>
  </si>
  <si>
    <t>DGTNDR71H08L483X</t>
  </si>
  <si>
    <t>IT73A0301503200000004095460</t>
  </si>
  <si>
    <t>AVV.FATTURA</t>
  </si>
  <si>
    <t>Ritenuta d'acconto IRPEF su compenso corrisposto su mandato n.377/2023</t>
  </si>
  <si>
    <t>O.C.04 del 21/04/2020 - CBVO-3-2020 - CUP: J13H19001190001 - CIG:Z812DD2A9B - 3^ acconto CSE-DO completamento opere di salvaguardia centro abitato di Gruaro argini Versiola - OCDP 558/2018-836/2022 - Tempesta Vaia - contratto 07/12/2020 - C.M.1183</t>
  </si>
  <si>
    <t>ZORBA</t>
  </si>
  <si>
    <t>STEFANO</t>
  </si>
  <si>
    <t>ZRBSFN87C22F356Y</t>
  </si>
  <si>
    <t>IT67F0835661860000000005393</t>
  </si>
  <si>
    <t>Ritenuta d'acconto IRPEF su compenso corrisposto su mandato n.378/2023</t>
  </si>
  <si>
    <t>Centro di costo 395/012/002 - 2021 - CIG:YC7347B77C - CUP:J13H19001190001-CM1183 LN 145-2021-D-VE-381 - CBVO-3-2020 - Completamento delle opere di salvaguardia del centro abitato di Gruaro - argini Versiola - 1o Stralcio - O.C.D.P.C. N.558 del 15/11/2018 - Nota Soggetto Attuatore SPI prot. 542364 del 18/11/2021 - Redazione perizia suppletiva e di variante, Direzione lavori e coordinamento della sicurezza in fase di progettazione e esecuzione lavori</t>
  </si>
  <si>
    <t>YC7347B77C</t>
  </si>
  <si>
    <t>O.C.04 del 21/04/2020 - CBVO-3-2020 - CUP: J13H19001190001 - CIG:YC7347B77C - 2^ acconto DL incarico Perizia di Variante - Completamento delle opere di salvaguardia del centro abitato di Gruaro argini Versiola - OCDP 558/2018 - Tempesta Vaia - C.M.1183</t>
  </si>
  <si>
    <t>Ritenuta d'acconto IRPEF su compenso corrisposto su mandato n.379/2023</t>
  </si>
  <si>
    <t>O.C.04 del 21/04/2020 - CBVO-3-2020 - CUP: J13H19001190001 - CIG:YC7347B77C - 2^ acconto CSE incarico Perizia di Variante - Completamento delle opere di salvaguardia del centro abitato di Gruaro argini Versiola - OCDP 558/2018 - Tempesta Vaia - C.M.1183</t>
  </si>
  <si>
    <t>Ritenuta d'acconto IRPEF su compenso corrisposto su mandato n.380/2023</t>
  </si>
  <si>
    <t>Centro di costo 401- 2020 - P.S.R.N. 2014-2020 '-CUP:C89B16000010001-CM 1175 - 1o LOTTO-Collegamento irriguo dei canali Gronda e Fosson Esterno per alimentazione superiore dei canali</t>
  </si>
  <si>
    <t>CUP:C89B16000010001 - CIG:8409841456 - P.S.R.N. 2014-2020 - Lotto B.2 - Misura 4.3.1 - C.M.1175 - Saldo assistenza archeologica - Distretti di San Dona' e Berengan - condotte del Piave (tratto Ovest), Trezza e Berengan - Bacino Brian: ristrutt. in cond. ed interc. adduttori irrigui ad alveo disperdente risparmio idrico, energetico e miglioramento funz.le qualita' acque distribuite</t>
  </si>
  <si>
    <t>CRISTELLOTTI &amp; MAFFEIS SRL</t>
  </si>
  <si>
    <t>IT32A0200801820000081378507</t>
  </si>
  <si>
    <t>CUP:C89B16000010001 - CIG:8409841456 - P.S.R.N. 2014-2020 - Lotto B.2 - Misura 4.3.1 - C.M.1175 - Saldo assistenza archeologica - Distretti di San Dona' e Berengan - condotte del Piave (tratto Ovest), Trezza e Berengan - Bacino Brian Ristrutturazione in condotta ed interconnessione degli aduttori irrigui ad alveo disp. ai fini del risp. idrico ed energetico e del migl. funz. e della qualita' delle acque distribuite</t>
  </si>
  <si>
    <t>IVA su fattura pagata con mandato n.381/2023</t>
  </si>
  <si>
    <t>84098457A2</t>
  </si>
  <si>
    <t>CUP:C89B16000010001 - CIG:84098457A2 - P.S.R.N. 2014-2020 - Lotto B.4 - Misura 4.3.1 - C.M.1175 - Saldo assistenza archeologica - distretti Revedoli, Tre Cai e sub-bacino Stretti Sud: ristrutt. in cond. ed interc. adduttori irrigui ad alveo disperdente risparmio idrico, energetico e miglioramento funz.le qualita' acque distribuite - contratto 10/12/2020</t>
  </si>
  <si>
    <t>DIEGO MALVESTIO E C. S.N.C.</t>
  </si>
  <si>
    <t>IT43T0306936243100000015930</t>
  </si>
  <si>
    <t>IVA su fattura pagata con mandato n.382/2023</t>
  </si>
  <si>
    <t>8105570FF3</t>
  </si>
  <si>
    <t>CUP:C89B16000010001 - CIG:8105570FF3 - P.S.R.N. 2014-2020 - Lotto B.1 - Misura 4.3.1 - C.M.1175 - Stato finale - distretti Tombolino e Isiata - Bacino Brian: ristrutt. in cond. ed interc. adduttori irrigui ad alveo disperdente risparmio idrico, energetico e miglioramento funz.le qualita' acque distribuite - contratto 17/11/2020 n.230</t>
  </si>
  <si>
    <t>IMPRESA COSTRUZIONI MANZATO S.P.A.</t>
  </si>
  <si>
    <t>IT68C0306936283074000004410</t>
  </si>
  <si>
    <t xml:space="preserve">IVA su fattura pagata con mandato n.383/2023 </t>
  </si>
  <si>
    <t>Centro di Costo - 379/003/007 - 2022 - CIG:YD13741016 - Copie prodotte multifunzione Canon IR2020 Ufficio Catasto della Sede di San Donà di Piave Quota parte anno 2022</t>
  </si>
  <si>
    <t>YD13741016</t>
  </si>
  <si>
    <t>CIG:YD13741016 - Servizio di assistenza su copie prodotte per multifunzione Canon Ufficio Catasto - Sede di San Dona' di Piave - periodo 01/10-31/12/2022 (Q.P.Fattura)</t>
  </si>
  <si>
    <t>OFFICE TECNO SERVICE S.R.L.</t>
  </si>
  <si>
    <t>IT18Z0103002000000063236355</t>
  </si>
  <si>
    <t>1/IQ</t>
  </si>
  <si>
    <t>CIG:YD13741016-YCD39D48C6 - Servizio di assistenza su copie prodotte per multifunzione Canon Ufficio Catasto - Sede di San Dona' di Piave - periodo 01/10-31/12/2022</t>
  </si>
  <si>
    <t xml:space="preserve">IVA su fattura pagata con mandato n.384/2023 </t>
  </si>
  <si>
    <t>Centro di costo 379/003/003 - 2023 - CIG:YCD39D48C6 - Copie prodotte multifunzione Canon IR2020 - Ufficio Catasto della Sede di San Donà di Piave - Quota parte anno 2023</t>
  </si>
  <si>
    <t>YCD39D48C6</t>
  </si>
  <si>
    <t>CIG:YCD39D48C6 - Servizio di assistenza su copie prodotte per multifunzione Canon Ufficio Catasto - Sede di San Dona' di Piave - periodo 01/10-31/12/2022 (Q.P.Fattura)</t>
  </si>
  <si>
    <t>Centro di costo 490/001/021 - 2022 - CIG:Y5838CF7D1 - Fornitura materiale oleodinamico necessario alla riparazione dei  mezzi d'opera</t>
  </si>
  <si>
    <t>Y5838CF7D1</t>
  </si>
  <si>
    <t>CIG:Y5838CF7D1 - Fornitura materiale oleodinamico riparazione mezzi d'opera (Q.P.Fattura)</t>
  </si>
  <si>
    <t>FLUIDPRESS2 S.R.L.</t>
  </si>
  <si>
    <t>IT35T0306936283100000012425</t>
  </si>
  <si>
    <t>P/55</t>
  </si>
  <si>
    <t>CIG:Y5838CF7D1-Y5F38CF6C3 - Fornitura materiale oleodinamico riparazione mezzi d'opera</t>
  </si>
  <si>
    <t xml:space="preserve">IVA su fattura pagata con mandato n.386/2023 </t>
  </si>
  <si>
    <t>Centro di costo 440/001/054 - 2022 - CIG:Y5F38CF6C3 - Fornitura elettrovalvola, tubi oleodinamici e raccorderia per manutenzione mezzi d'opera consorziali</t>
  </si>
  <si>
    <t>Y5F38CF6C3</t>
  </si>
  <si>
    <t>CIG:Y5F38CF6C3 - Fornitura elettrovalvola, tubi oleodinamici e raccorderia per manutenzione mezzi d'opera (Q.P.Fattura)</t>
  </si>
  <si>
    <t>CIG:Y5F38CF6C3 - Fornitura elettrovalvola, tubi oleodinamici e raccorderia per manutenzione mezzi d'opera</t>
  </si>
  <si>
    <t>P/56</t>
  </si>
  <si>
    <t xml:space="preserve">IVA su fattura pagata con mandato n.388/2023 </t>
  </si>
  <si>
    <t>Centro di costo 445/001/002 - 2022 - CIG:Z0D302F7F1 - Q.P. Manutenzione automezzi</t>
  </si>
  <si>
    <t>Z0D302F7F1</t>
  </si>
  <si>
    <t>CIG:Z0D302F7F1 - Manutenzione Fiat Strada EG963KF</t>
  </si>
  <si>
    <t>MORETTO CAR SERVICE S.R.L.</t>
  </si>
  <si>
    <t>IT47T0200836241000041103383</t>
  </si>
  <si>
    <t>43/PA</t>
  </si>
  <si>
    <t xml:space="preserve">IVA su fattura pagata con mandato n.389/2023 </t>
  </si>
  <si>
    <t>Centro di costo 485/005/009 - 2022 - CIG:YA236B7121 - Fornitura materiale di raccorderia idraulica per la manutenzione dei manufatti idraulici</t>
  </si>
  <si>
    <t>YA236B7121</t>
  </si>
  <si>
    <t>CIG:YA236B7121 - Fornitura materiale di raccorderia idraulica manutenzione manufatti idraulici</t>
  </si>
  <si>
    <t xml:space="preserve">IVA su fattura pagata con mandato n.390/2023 </t>
  </si>
  <si>
    <t>CIG:YF33703DEB - Fornitura materiale idraulico per manutenzioni ordinarie</t>
  </si>
  <si>
    <t xml:space="preserve">IVA su fattura pagata con mandato n.391/2023 </t>
  </si>
  <si>
    <t>CIG:YE73440136  - Opere civili su manufatti e impianti idrovori</t>
  </si>
  <si>
    <t xml:space="preserve">IVA su fattura pagata con mandato n.392/2023 </t>
  </si>
  <si>
    <t>Centro di costo 420/004/002 - 2022 - CIG:Y6A343FCEF - Noleggio a caldo di mezzi d'opera per la manutenzione ordinaria lungo i canali, argini e manufatti idraulici minori</t>
  </si>
  <si>
    <t>Y6A343FCEF</t>
  </si>
  <si>
    <t>CIG:Y6A343FCEF - Noleggio a caldo mezzi d'opera manutenzione ordinaria lungo i canali, argini e manufatti idraulici minori</t>
  </si>
  <si>
    <t>BATTISTON VITTORINO SNC DI BATTISTON STEFANO E F.LLI</t>
  </si>
  <si>
    <t>IT50G0890436240049000075934</t>
  </si>
  <si>
    <t xml:space="preserve">IVA su fattura pagata con mandato n.393/2023 </t>
  </si>
  <si>
    <t>Centro di costo 420/002/001 - 2022 - CIG:90122518CA - Interventi di sfangatura dei canali consorziali e della rete idrografica minore con impiego di escavatore</t>
  </si>
  <si>
    <t>90122518CA</t>
  </si>
  <si>
    <t>CIG:90122518CA - Interventi di sfangatura dei canali consorziali e della rete idrografica minore con impiego di escavatore</t>
  </si>
  <si>
    <t xml:space="preserve">IVA su fattura pagata con mandato n.394/2023 </t>
  </si>
  <si>
    <t>ZANELLA</t>
  </si>
  <si>
    <t>SIMONE</t>
  </si>
  <si>
    <t>ZNLSMN94D24L736W</t>
  </si>
  <si>
    <t>IT55N0890483210030000001980</t>
  </si>
  <si>
    <t>DI TOS</t>
  </si>
  <si>
    <t>ISIDORO</t>
  </si>
  <si>
    <t>DTSSDR34S28C388E</t>
  </si>
  <si>
    <t>IT37O0533636090000030521093</t>
  </si>
  <si>
    <t>IRAP su retribuzioni mese 02/2023 personale uffici - operai</t>
  </si>
  <si>
    <t>IRAP su compensi mese 02/2023 Amministratori</t>
  </si>
  <si>
    <t>contributi su retribuzioni mese 02/2023 personale uffici-operai</t>
  </si>
  <si>
    <t>Centro di costo 320/003/001 - 2021 - Progetto di ricerca 'Terrevolute' valorizzazione del patrimonio culturale materiale ed immateriale dei Cons. di Bon. della Regione Veneto (Conv.con Dip.di Scienze Storiche, Geografiche  e dell'Antichità)</t>
  </si>
  <si>
    <t>3^ rata e saldo finanziamento progetto ricerca Terrevolute valorizzazione patrimonio materiale e immateriale dei Consorzi di Bonifica veneti</t>
  </si>
  <si>
    <t>UNIVERSITA' DEGLI STUDI DI PADOVA - DIP.SCIENZE STORICHE GEOGRAFICHE E DELL'ANTICHITA'</t>
  </si>
  <si>
    <t>NOTA DEBITO N.1</t>
  </si>
  <si>
    <t>Centro di costo 425/003/004 - 2022 - CIG:YA8380E850 - Fornitura materiale vario idraulico necessario alla manutenzione dei manufatti idraulici</t>
  </si>
  <si>
    <t>YA8380E850</t>
  </si>
  <si>
    <t>CIG:YA8380E850 - Fornitura materiale vario idraulico manutenzione manufatti idraulici</t>
  </si>
  <si>
    <t xml:space="preserve">IVA su fattura pagata con mandato n.402/2023 </t>
  </si>
  <si>
    <t>Centro di costo 420/004/009 - 2022 - CIG:YC23968348 - Interventi di fresatura meccanica delle erbe lungo i canali e le arginature consorziali del bacino Valle Vecchia e tratti di canale bacino Brussa</t>
  </si>
  <si>
    <t>YC23968348</t>
  </si>
  <si>
    <t>CIG:YC23968348 - Interventi fresatura meccanica erbe canali e arginature cons.li del bacino Valle Vecchia e tratti di canale bacino Brussa</t>
  </si>
  <si>
    <t>ESERCIZIO MACCHINE AGRICOLE FAVERO PAOLO, CLAUDIO E DANIELE S.N.C.</t>
  </si>
  <si>
    <t>IT10O0890436241052070102930</t>
  </si>
  <si>
    <t>FPR 28/22</t>
  </si>
  <si>
    <t xml:space="preserve">IVA su fattura pagata con mandato n.403/2023 </t>
  </si>
  <si>
    <t>Pos.338-C.M.1001.I (1o Str.) e 1001.II (2oStr.) - CUP C26E13000030002 - Bacino Cavallino-Scarico dei deflussi ordinari della rete di bonifica al di fuori della Laguna</t>
  </si>
  <si>
    <t>CUP: C26E13000030002 - indennita' istituzione servitu' acquedotto realizzazione canale Basson lavori scarico dei deflussi ordinari della rete di bonifica del bac.Cavallino al di fuori della Laguna - 2^ str.adeg.rete bonifica P.Sabbioni scarico bocca porta di Lido - Decr.239/2017 - Pos.338 - C.M.1001</t>
  </si>
  <si>
    <t>CELLI EDDA, SCARPA ROBERTO, SCARPA PAOLO, SCARPA DANIELE E SCARPA MASSIMO</t>
  </si>
  <si>
    <t>CLLDDE34C51L407O</t>
  </si>
  <si>
    <t>IT17D0760102000001063561334</t>
  </si>
  <si>
    <t>CUP: C26E13000030002 - Saldo indennita' occupazione permanente realizzazione canale Basson lavori scarico dei deflussi ordinari della rete di bonifica del bac.Cavallino al di fuori della Laguna - 2^ str.adeg.rete bonifica P.Sabbioni scarico bocca porta di Lido - Decr.239/2017 - Pos.338 - C.M.1001</t>
  </si>
  <si>
    <t>CUP: C26E13000030002 - Saldo indennita' occupazione temporanea e abbattimento piante realizzazione canale Basson lavori scarico dei deflussi ordinari della rete di bonifica del bac.Cavallino al di fuori della Laguna - 2^ str.adeg.rete bonifica P.Sabbioni scarico bocca porta di Lido - Decr.239/2017 - Pos.338 - C.M.1001</t>
  </si>
  <si>
    <t>CUP: C26E13000030002 - saldo indennita' occupazione permanente realizzazione canale Zambon lavori scarico dei deflussi ordinari della rete di bonifica del bac.Cavallino al di fuori della Laguna - 2^ str.adeg.rete bonifica P.Sabbioni scarico bocca porta di Lido - Decr.239/2017 - Pos.338 - C.M.1001</t>
  </si>
  <si>
    <t>FUIN ANACLETO E SCARPA ELENA</t>
  </si>
  <si>
    <t>FNUNLT36R15L736D</t>
  </si>
  <si>
    <t>IT60X0306983210100000002643</t>
  </si>
  <si>
    <t>CUP: C26E13000030002 - ritenuta IRPEF su indennita' occupazione permanente realizzazione canale Zambon lavori scarico dei deflussi ordinari della rete di bonifica del bac.Cavallino al di fuori della Laguna - 2^ str.adeg.rete bonifica P.Sabbioni scarico bocca porta di Lido - Decr.239/2017 - Pos.338 - C.M.1001</t>
  </si>
  <si>
    <t>CUP: C26E13000030002 - Indennita' occupazione temporanea risezionamento canale Zambon lavori scarico dei deflussi ordinari della rete di bonifica del bac.Cavallino al di fuori della Laguna - 2^ str.adeg.rete bonifica P.Sabbioni scarico bocca porta di Lido - Decr.239/2017 - Pos.338 - C.M.1001</t>
  </si>
  <si>
    <t>CUP:C26E13000030002 - Indennita' occupazione temporanea risezionamento canale Zambon lavori scarico dei deflussi ordinari della rete di bonifica del bac.Cavallino al di fuori della Laguna - 2^ str.adeg.rete bonifica P.Sabbioni scarico bocca porta di Lido - Decr.239/2017 - Pos.338 - C.M.1001</t>
  </si>
  <si>
    <t>FUIN</t>
  </si>
  <si>
    <t>MARA</t>
  </si>
  <si>
    <t>FNUMRA56M45L736G</t>
  </si>
  <si>
    <t>IT24Z0538702001000047640744</t>
  </si>
  <si>
    <t>Centro di costo 380/003/016 - 2022 - CIG:Y98381C487 - Canone hosting evoluto - Quota prevista per due bimestri</t>
  </si>
  <si>
    <t>Y98381C487</t>
  </si>
  <si>
    <t>CIG:Y98381C487 - canone servizio Hosting evoluto 1^ bim.2023 (Q.P.Fattura)</t>
  </si>
  <si>
    <t>8Z00829593</t>
  </si>
  <si>
    <t>CIG:Y98381C487-YE03A524EA - canone servizio Hosting evoluto 1^ bim.2023</t>
  </si>
  <si>
    <t xml:space="preserve">IVA su fattura pagata con mandato n.410/2023 </t>
  </si>
  <si>
    <t>Centro di costo 380/003/005 - 2023 - CIG:YE03A524EA - Canone hosting - Quota prevista per tre bimestri</t>
  </si>
  <si>
    <t>YE03A524EA</t>
  </si>
  <si>
    <t>CIG:YE03A524EA - canone servizio Hosting evoluto 1^ bim.2023 (Q.P.Fattura)</t>
  </si>
  <si>
    <t>CIG:YE03A524EA - canone servizio Hosting evoluto 2^ bim.2023</t>
  </si>
  <si>
    <t>8Z00139061</t>
  </si>
  <si>
    <t xml:space="preserve">IVA su fattura pagata con mandato n.412/2023 </t>
  </si>
  <si>
    <t>Centro di costo 452/003/001 - 2023 - CIG:Y1E3A39685 - Fornitura centralina con sensore di salinità (conduttivimetro e sonda) per l'impianto Cavrato</t>
  </si>
  <si>
    <t>Y1E3A39685</t>
  </si>
  <si>
    <t>CIG:Y1E3A39685 - Fornitura centralina con sensore di salinita' (conduttivimetro e sonda) per l'impianto Cavrato</t>
  </si>
  <si>
    <t>STEIEL ELETTRONICA S.R.L.</t>
  </si>
  <si>
    <t>IT12V0200805364000004839832</t>
  </si>
  <si>
    <t>PRO FORMA 11</t>
  </si>
  <si>
    <t xml:space="preserve">IVA su fattura pagata con mandato n.413/2023 </t>
  </si>
  <si>
    <t>Centro di costo 440/001/006 - 2023 - CIG:YC639B1419 - Q.P. Sostituzione guarnizioni coperchi punterie, elettrovalvole a valvola impianto idraulico escavatore NH MH Plus</t>
  </si>
  <si>
    <t>YC639B1419</t>
  </si>
  <si>
    <t>CIG:YC639B1419 - Sostituzione guarnizioni coperchi punterie, elettrovalvole a valvola impianto idraulico escavatore NH MH Plus (Q.P.Fattura)</t>
  </si>
  <si>
    <t>31/2023</t>
  </si>
  <si>
    <t>CIG:YC639B1419 - Sostituzione guarnizioni coperchi punterie, elettrovalvole a valvola impianto idraulico escavatore NH MH Plus</t>
  </si>
  <si>
    <t xml:space="preserve">IVA su fattura pagata con mandato n.414/2023 </t>
  </si>
  <si>
    <t>Centro di costo 452/002/002 - 2023 - CIG:Y2C39A859A - Servizio di noleggio a lungo termine di n. 3 autovetture per il periodo gennaio - settembre 2023</t>
  </si>
  <si>
    <t>Y2C39A859A</t>
  </si>
  <si>
    <t>CIG:Y2C39A859A - Canone noleggio Panda FW513MA - FW532MA - FW658LZ mese 01/2023</t>
  </si>
  <si>
    <t xml:space="preserve">IVA su fattura pagata con mandato n.416/2023 </t>
  </si>
  <si>
    <t>CIG:Y2C39A859A - Quota bollo noleggio Panda FW513MA - FW532MA - FW658LZ mese 01/2023</t>
  </si>
  <si>
    <t>Centro di costo 452/002/003 - 2023 - CIG:Y0A39A9CCB - Servizio di noleggio a lungo termine di n. 1 veicolo per il periodo gennaio - settembre 2023</t>
  </si>
  <si>
    <t>Y0A39A9CCB</t>
  </si>
  <si>
    <t>CIG:Y0A39A9CCB - Canone noleggio Doblo' Cargo FX087YB mesi 01-02/2023</t>
  </si>
  <si>
    <t>CIG:Y0A39A9CCB - Canone noleggio Doblo' Cargo FX087YB mese 01/2023</t>
  </si>
  <si>
    <t xml:space="preserve">IVA su fattura pagata con mandato n.417/2023 </t>
  </si>
  <si>
    <t>CIG:Y0A39A9CCB - Canone noleggio Doblo' Cargo FX087YB mese 02/2023</t>
  </si>
  <si>
    <t>Centro di costo 440/001/062 - 2022 - CIG:YBE3920613 - Fornitura centralina per il mezzo Robogreen LE70</t>
  </si>
  <si>
    <t>YBE3920613</t>
  </si>
  <si>
    <t>CIG:YBE3920613 - Fornitura centralina per il mezzo Robogreen LE70</t>
  </si>
  <si>
    <t>4/I</t>
  </si>
  <si>
    <t xml:space="preserve">IVA su fattura pagata con mandato n.418/2023 </t>
  </si>
  <si>
    <t>Centro di costo 440/001/007 - 2023 - CIG:Y2139B6134 - Q.P. Riparazione macchina operatrice Energreen Alpha</t>
  </si>
  <si>
    <t>Y2139B6134</t>
  </si>
  <si>
    <t>CIG:Y2139B6134 - Riparazione macchina operatrice Energreen Alpha</t>
  </si>
  <si>
    <t>3/I</t>
  </si>
  <si>
    <t xml:space="preserve">IVA su fattura pagata con mandato n.419/2023 </t>
  </si>
  <si>
    <t>CIG:Y2F394134D - Acconto ricorso in appello avanti CTR di Venezia sent. 210/22 (IMU 2016) comune San Dona' di Piave</t>
  </si>
  <si>
    <t>Ritenuta d'acconto IRPEF su compenso corrisposto su mandato n.420/2023</t>
  </si>
  <si>
    <t>CIG:Y2F394134D - Acconto per ricorso avanti la CTP di Venezia, comune di Portogruaro IMU 2017</t>
  </si>
  <si>
    <t>CIG:Y2F394134D - Acconto per ricorso avanti la CTP di Venezia, comune Portogruaro IMU 2017</t>
  </si>
  <si>
    <t>Ritenuta d'acconto IRPEF su compenso corrisposto su mandato n.421/2023</t>
  </si>
  <si>
    <t xml:space="preserve">Centro di costo 320/002/001 - 2023 - CIG:YF23A4689D - Comune di San Michele al Tagliamento,  IMU 2017, Ricorso avanti la corte di Giustizia tributaria di 1o di Venezia (acconto) , Avv. Lena - Ditta:Avv.Fabio Lena - A 4.072,89 </t>
  </si>
  <si>
    <t>YF23A4689D</t>
  </si>
  <si>
    <t>CIG:YF23A4689D - Acconto ricorso avanti la corte di Giustizia tributaria di Primo Grado di Venezia - Comune San Michele al Tagliamento IMU 2017</t>
  </si>
  <si>
    <t>LENA</t>
  </si>
  <si>
    <t>FABIO</t>
  </si>
  <si>
    <t>LNEFBA78E04I403U</t>
  </si>
  <si>
    <t>IT31O0200836282000106011818</t>
  </si>
  <si>
    <t>Ritenuta d'acconto IRPEF su compenso corrisposto su mandato n.422/2023</t>
  </si>
  <si>
    <t>ritenute IRPEF su retribuzioni mese 02/2023 personale dipendente-pensionato - A MEZZO F24 TELEMATICO</t>
  </si>
  <si>
    <t>ritenute IRPEF su retribuzioni mese 02/2023 personale dipendente-pensionato, lav.autonomo</t>
  </si>
  <si>
    <t>ritenute IRPEF su lavoro autonomo 02/2023 - A MEZZO F24 TELEMATICO</t>
  </si>
  <si>
    <t>contributi su retribuzioni mese 02/2023 personale uffici-operai - A MEZZO F24 TELEMATICO</t>
  </si>
  <si>
    <t>contributi su retribuzioni mese 02/2023 personale uffici-operai e compensi Amm.ri</t>
  </si>
  <si>
    <t>contributi su retribuzioni mese 02/2023 personale dipendente - A MEZZO F24 TELEMATICO</t>
  </si>
  <si>
    <t>contributi su compensi mese 02/2023 Amministratori - A MEZZO F24 TELEMATICO</t>
  </si>
  <si>
    <t>contributi su compensi anno 2022 Amministratori - A MEZZO F24 TELEMATICO</t>
  </si>
  <si>
    <t>contributi su retribuzioni mese 02/2023 personale uffici - A MEZZO F24 TELEMATICO</t>
  </si>
  <si>
    <t>contributi su retribuzioni mese 02/2023 personale uffici</t>
  </si>
  <si>
    <t>Centro di costo 300/004/001 - 2020 - Contributi a carico dell'Ente per il personale d'ufficio ed esterno</t>
  </si>
  <si>
    <t>contributi 3^ trim.2022 e saldo 2020-2021 personale operaio (q.p.) - A MEZZO F24 TELEMATICO</t>
  </si>
  <si>
    <t>contributi 3^ trim.2022 personale operaio e saldo 2020-2021</t>
  </si>
  <si>
    <t>contributi 3^ trim.2022 e saldo 2020-2021 personale operaio (q.p.) - A MEZZO F24 TELEMATICO - vincolato alle reversali n.227-228/2023</t>
  </si>
  <si>
    <t>Centro di costo 300/004/001 - 2021 - Contributi a carico dell'Ente per il personale d'ufficio ed esterno</t>
  </si>
  <si>
    <t>contributi 3^ trim.2022 e saldo 2020-2021 personale operaio (q.p.) - A MEZZO F24 TELEMATICO - vincolato alla reversale n.229/2023</t>
  </si>
  <si>
    <t>contributi 3^ trim.2022 e saldo 2020-2021 personale operaio (q.p.) - A MEZZO F24 TELEMATICO - vincolato alla reversale n.230/2023</t>
  </si>
  <si>
    <t>Ritenute previdenziali e assistenziali anno 2020</t>
  </si>
  <si>
    <t>Ritenute previdenziali e assistenziali anno 2021</t>
  </si>
  <si>
    <t>Versamento IVA da Split Payment mese 02/2023 - A MEZZO F24 TELEMATICO</t>
  </si>
  <si>
    <t>Versamento IVA da Split Payment mese 02/2023</t>
  </si>
  <si>
    <t>contributi fondo previdenza su retribuzioni mese 02/2023 personale uffici-operai</t>
  </si>
  <si>
    <t>contributi fondo previdenza su retribuzioni mese 02/2023 personale dipendente</t>
  </si>
  <si>
    <t>contributi fondo TFR su retribuzioni mese 02/2023 personale uffici-operai</t>
  </si>
  <si>
    <t>contributi ANBI su retribuzioni mese 02/2023</t>
  </si>
  <si>
    <t>contributi SNEBI su retribuzioni mese 02/2023</t>
  </si>
  <si>
    <t>contributo Fondo integrativo sanitario anno 2023</t>
  </si>
  <si>
    <t>IT05C0832703211000000003267</t>
  </si>
  <si>
    <t>cessione quinto stipendio mese 03/2023</t>
  </si>
  <si>
    <t>Rimborso quota interessi prestito 5 milioni - 03/2023</t>
  </si>
  <si>
    <t>Rimborso quota capitale prestito 5 milioni - 03/2023</t>
  </si>
  <si>
    <t>Retribuzioni mese 03/2023 personale uffici-operai</t>
  </si>
  <si>
    <t>rimb. spese trasferta e varie mese 02/2023 personale uffici-operai</t>
  </si>
  <si>
    <t>pensioni mese 03/2023</t>
  </si>
  <si>
    <t>compensi mese 03/2023 Presidente e Vice Presidente</t>
  </si>
  <si>
    <t>9422555A5C</t>
  </si>
  <si>
    <t>CUP:C28H22000320002 - CIG:9422555A5C - Fornitura nuovo motore a servizio impianto idrovoro Jesolo 1^ Bacino bacino Cavazuccherina in Comune di Jesolo - Somma Urgenza giugno 2022 - C.M.1217</t>
  </si>
  <si>
    <t xml:space="preserve">IVA su fattura pagata con mandato n.459/2023 </t>
  </si>
  <si>
    <t>Centro di costo 454/004/001 - 2023 - CIG:813283970D - Fornitura energia elettrica necessaria all'esercizio dei magazzini e delle case di servizio</t>
  </si>
  <si>
    <t>CIG:813283970D - fornitura energia elettrica mese 01/2023 magazzini consorziali e case di servizio</t>
  </si>
  <si>
    <t xml:space="preserve">IVA su fattura pagata con mandato n.460/2023 </t>
  </si>
  <si>
    <t>Centro di costo 454/003/001 - 2023 - CIG:813283970D - Fornitura energia elettrica necessaria all'esercizio delle sedi e dell'officina consorziale</t>
  </si>
  <si>
    <t>CIG:813283970D - fornitura energia elettrica mese 01/2023 sedi e officina consorziale</t>
  </si>
  <si>
    <t xml:space="preserve">IVA su fattura pagata con mandato n.461/2023 </t>
  </si>
  <si>
    <t>Centro di costo 454/002/001 - 2023 - CIG:813283970D - Fornitura energia elettrica necessaria all'esercizio degli impianti irrigui</t>
  </si>
  <si>
    <t>CIG:813283970D - fornitura energia elettrica mese 01/2023 esercizio impianti irrigui</t>
  </si>
  <si>
    <t xml:space="preserve">IVA su fattura pagata con mandato n.462/2023 </t>
  </si>
  <si>
    <t>CIG:813283970D - fornitura energia elettrica mese 01/2023 esercizio impianti idrovori (q.p.)</t>
  </si>
  <si>
    <t xml:space="preserve">IVA su fattura pagata con mandato n.463/2023 </t>
  </si>
  <si>
    <t xml:space="preserve">IVA su fattura pagata con mandato n.464/2023 </t>
  </si>
  <si>
    <t>Centro di costo 435/001/002 - 2023 - CIG:Y433994E21 - Fornitura di lt. 1.000 di additivo ADBlue per l'esercizio dei mezzi d'opera</t>
  </si>
  <si>
    <t>Y433994E21</t>
  </si>
  <si>
    <t>CIG:Y433994E21 - Fornitura lt.1000 di additivo ADBlue per l'esercizio dei mezzi d'opera</t>
  </si>
  <si>
    <t>A.F. PETROLI SPA</t>
  </si>
  <si>
    <t>IT76L0623062892000015055301</t>
  </si>
  <si>
    <t>000501.AF</t>
  </si>
  <si>
    <t xml:space="preserve">IVA su fattura pagata con mandato n.465/2023 </t>
  </si>
  <si>
    <t>Centro di costo 425/002/006 - 2023 - CIG;Y313A395C2 - Zincatura carpenteria leggera per i lavori di manutenzione dei manufatti idraulici</t>
  </si>
  <si>
    <t>Y313A395C2</t>
  </si>
  <si>
    <t>CIG:Y313A395C2 - Zincatura carpenteria leggera lavori manutenzione manufatti idraulici</t>
  </si>
  <si>
    <t>ZINCOL ITALIA S.P.A.</t>
  </si>
  <si>
    <t>IT78P0200805364000002935460</t>
  </si>
  <si>
    <t xml:space="preserve">IVA su fattura pagata con mandato n.466/2023 </t>
  </si>
  <si>
    <t>Centro di costo 320/003/001 - 2023 - CIG:Y293A7A4DC - Valorizzazione del patrimonio culturale e ambientale del CBVO</t>
  </si>
  <si>
    <t>Y293A7A4DC</t>
  </si>
  <si>
    <t>CIG:Y293A7A4DC - Saldo contratto valorizzazione patrimonio culturale e ambientale del CBVO</t>
  </si>
  <si>
    <t>NOVELLO</t>
  </si>
  <si>
    <t>ELISABETTA</t>
  </si>
  <si>
    <t>NVLLBT65R61D325E</t>
  </si>
  <si>
    <t>IT11H0103012150000004106317</t>
  </si>
  <si>
    <t>RICEVUTA</t>
  </si>
  <si>
    <t>Ritenuta d'acconto IRPEF su compenso corrisposto su mandato n.467/2023</t>
  </si>
  <si>
    <t>INPS</t>
  </si>
  <si>
    <t>Contributo INPS su compenso corrisposto su mandato n.467/2023</t>
  </si>
  <si>
    <t>Centro di costo 440/001/021 - 2014 - CIG: Z6110DD3A8 -  Sostituzione parabrezza anteriore furgone Fiat Ducato DN012ZK</t>
  </si>
  <si>
    <t>Z6110DD3A8</t>
  </si>
  <si>
    <t>CIG:Z6110DD3A8 - Sostituzione parabrezza anteriore furgone Fiat Ducato DN012ZK</t>
  </si>
  <si>
    <t>F.857</t>
  </si>
  <si>
    <t>Centro di costo  300/006/001 - 2014 - Spese vitto personale dipendente</t>
  </si>
  <si>
    <t>Z020DEFE5F</t>
  </si>
  <si>
    <t>CIG:Z020DEFE5F - somministrazione pasti personale dipendente mese 07/2014</t>
  </si>
  <si>
    <t>BAR TREVISO DI INFANTI MAURIZIO</t>
  </si>
  <si>
    <t>NFNMRZ56C06G914K</t>
  </si>
  <si>
    <t>IT43C0306936243100000015094</t>
  </si>
  <si>
    <t>F.75</t>
  </si>
  <si>
    <t>Q.P.premi assicurazione periodo 01/07/2018-30/06/2019 - CIG:66544154F9;66544734D6;6654423B91;66544333D4;6654458874;6654441A6C;66544501DC;6654465E39;6654407E5C</t>
  </si>
  <si>
    <t>CIG:8085160519 - Conguaglio premio 2020-2021 polizza Amtrust n.TLE00010000032 'Tutela legale' (QP)</t>
  </si>
  <si>
    <t>CIG:8085160519 - Conguaglio premio 2020-2021 polizza Amtrust n.TLE00010000032 'Tutela legale'</t>
  </si>
  <si>
    <t>Centro di costo 600/002/004 - 2020 - Assicurazione Temporanea Causa Morte personale operaio</t>
  </si>
  <si>
    <t>CIG:8085160519 - Conguaglio premio 2021-2022 polizza Amtrust n.TLE00010000032 'Tutela legale'</t>
  </si>
  <si>
    <t>AVVISO SACDENZA</t>
  </si>
  <si>
    <t>CIG:8085296554 - Conguaglio 2022 RC mezzi Polizza Allianz n.770448837</t>
  </si>
  <si>
    <t>Centro di costo 440/001/064 - 2022 - CIG:YF23943C18 - Lavorazione imposta su campana semiasse cuscinetti trattore F100 Winner</t>
  </si>
  <si>
    <t>YF23943C18</t>
  </si>
  <si>
    <t>CIG:YF23943C18 - Lavorazione imposta su campana semiasse cuscinetti trattore F100 Winner</t>
  </si>
  <si>
    <t>VIT TORNIOMECCANICA DI VIT GINO &amp; FIGLI S.R.L.</t>
  </si>
  <si>
    <t>IT37U0890436380048001010237</t>
  </si>
  <si>
    <t xml:space="preserve">IVA su fattura pagata con mandato n.475/2023 </t>
  </si>
  <si>
    <t xml:space="preserve">IVA su fattura pagata con mandato n.476/2023 </t>
  </si>
  <si>
    <t>Centro di costo 425/002/003 - 2023 - CIG:YFA39B61D8 - Fornitura ricambi per lo sgrigliatore dell'impianto idrovoro 6o Bacino</t>
  </si>
  <si>
    <t>YFA39B61D8</t>
  </si>
  <si>
    <t>CIG:YFA39B61D8 - Fornitura ricambi per lo sgrigliatore dell'impianto idrovoro 6^ Bacino</t>
  </si>
  <si>
    <t>P.A.F. SRL</t>
  </si>
  <si>
    <t>IT35F0585612100196571440745</t>
  </si>
  <si>
    <t xml:space="preserve">IVA su fattura pagata con mandato n.477/2023 </t>
  </si>
  <si>
    <t>Centro di costo 425/001/002 - 2023 - CIG:Y963A5B8A1 - Noleggio gruppo elettrogeno impianto Villanova della Cartera - anno 2023</t>
  </si>
  <si>
    <t>Y963A5B8A1</t>
  </si>
  <si>
    <t>CIG:Y963A5B8A1 - Noleggio gruppo elettrogeno a servizio dell' impianto Villanova della Cartera mesi 01-02/2023</t>
  </si>
  <si>
    <t>VISA S.P.A.</t>
  </si>
  <si>
    <t>IT27Y0623061860000015105615</t>
  </si>
  <si>
    <t>CIG:Y963A5B8A1 - Noleggio gruppo elettrogeno a servizio dell' impianto Villanova della Cartera mese 01/2023</t>
  </si>
  <si>
    <t xml:space="preserve">IVA su fattura pagata con mandato n.478/2023 </t>
  </si>
  <si>
    <t>CIG:Y963A5B8A1 - Noleggio gruppo elettrogeno a servizio dell' impianto Villanova della Cartera mese 02/2023</t>
  </si>
  <si>
    <t>Centro di costo 310/001/003 - 2023 - CIG:YF639CE6FE - Servizio transfer Portogruaro/San Donà  per/da aeroporto Venezia 6-13 febbraio</t>
  </si>
  <si>
    <t>YF639CE6FE</t>
  </si>
  <si>
    <t>CIG:YF639CE6FE - Servizio transfer Portogruaro-San Dona' per/da aeroporto Venezia 6-13/02/2023</t>
  </si>
  <si>
    <t>IDEALVIAGGI DI GUERRA PIERLUIGI, FEDERICO,STEFANO, ANDREA SNC</t>
  </si>
  <si>
    <t>IT71T0835664780000000516631</t>
  </si>
  <si>
    <t>27/PA</t>
  </si>
  <si>
    <t xml:space="preserve">IVA su fattura pagata con mandato n.479/2023 </t>
  </si>
  <si>
    <t>Centro di costo 378/001/031 - 2022 - CIG:YC03867D71 - Fornitura di videocamera PTZ e cavalletto</t>
  </si>
  <si>
    <t>YC03867D71</t>
  </si>
  <si>
    <t>CIG:YC03867D71 - Fornitura di videocamera PTZ e cavalletto</t>
  </si>
  <si>
    <t>MARCO MAZZON SRL</t>
  </si>
  <si>
    <t>IT91N0306936200100000004756</t>
  </si>
  <si>
    <t xml:space="preserve">IVA su fattura pagata con mandato n.480/2023 </t>
  </si>
  <si>
    <t>Centro di costo 420/002/002 - 2022 - CIG:90261896CB - Servizio di sfalcio e pulizia aree esterne impianti idrovori e irrigui</t>
  </si>
  <si>
    <t>90261896CB</t>
  </si>
  <si>
    <t>CIG:90261896CB - Servizio di sfalcio e pulizia aree esterne impianti idrovori e irrigui</t>
  </si>
  <si>
    <t>F.LLI STANGHERLIN S.R.L.</t>
  </si>
  <si>
    <t>IT20R0303261560010000001169</t>
  </si>
  <si>
    <t xml:space="preserve">IVA su fattura pagata con mandato n.481/2023 </t>
  </si>
  <si>
    <t>Centro di costo 420/002/002 - 2021 - CIG:8589776B63 - Sfalcio e pulizia aree esterne impianti</t>
  </si>
  <si>
    <t>8589776B63</t>
  </si>
  <si>
    <t>CIG:8589776B63 - Sfalcio e pulizia aree esterne impianti</t>
  </si>
  <si>
    <t xml:space="preserve">IVA su fattura pagata con mandato n.482/2023 </t>
  </si>
  <si>
    <t>CIG:Y0639A8334 - canone noleggio Peugeot FW208EH, Panda GK321FS, GK325FS, GK334FS, GK335FS, GK809FW e Fiat Tipo GK393ZM mese 03/2023</t>
  </si>
  <si>
    <t>Fattura n.VF023043105 del 01/03/2023 - CIG:Y0639A8334 - canone noleggio Peugeot FW208EH, Panda GK321FS, GK325FS, GK334FS, GK335FS, GK809FW e Fiat Tipo GK393ZM mese 03/2023</t>
  </si>
  <si>
    <t xml:space="preserve">IVA su fattura pagata con mandato n.484/2023 </t>
  </si>
  <si>
    <t>CIG:Y0639A8334 - canone noleggio Peugeot GK290GD mese 03/2023</t>
  </si>
  <si>
    <t>Fattura n.VF023051058 del 01/03/2023 - CIG:Y0639A8334 - canone noleggio Peugeot GK290GD mese 03/2023</t>
  </si>
  <si>
    <t xml:space="preserve">IVA su fattura pagata con mandato n.486/2023 </t>
  </si>
  <si>
    <t>Fornitura acqua imp.idrovori - periodo 08/2022-12/2022</t>
  </si>
  <si>
    <t>FATTURA N.213535 DEL 31/12/2022 - Fornitura acqua imp.S.Osvaldo Principale - periodo 23/09-22/11/2022</t>
  </si>
  <si>
    <t>FATTURA N.998/C DEL 16/01/2023 - Fornitura acqua imp.via Colombara - S.Michele al Tag.to - periodo 09/08/2022-11/01/2023</t>
  </si>
  <si>
    <t>FATTURA N.1885/C DEL 16/01/2023 - Fornitura acqua imp.via 4^ bacino - S.Michele al Tag.to - periodo 01/08/2022-12/12/2022</t>
  </si>
  <si>
    <t xml:space="preserve">IVA su fattura pagata con mandato n.488/2023 </t>
  </si>
  <si>
    <t>Fornitura acqua impianti idrovori periodo 06/2022-01/2023</t>
  </si>
  <si>
    <t>Fattura n.810001449372 del 21/02/2023 - SERVIZIO IDRICO INTEGRATO periodo 09.07.2022-30.01.2023 Cliente: 1001012093 - Contratto: 3001442719 Servizio fornito in : VIA VALLESINA, 1  30020 ERACLEA VE Tipologia di utenza : Uso Pubblico</t>
  </si>
  <si>
    <t>Fattura n.810001445631 del 21/02/2023 - SERVIZIO IDRICO INTEGRATO periodo 14.06.2022-30.01.2023 Cliente: 1000974168 - Contratto: 3001456252 Servizio fornito in : VIA CADORE, 0  30021 CAORLE VE Tipologia di utenza : Uso Pubblico</t>
  </si>
  <si>
    <t>Fattura n.810001449373 del 21/02/2023 - SERVIZIO IDRICO INTEGRATO periodo 01.06.2022-30.01.2023 Cliente: 1001012095 - Contratto: 3001442721 Servizio fornito in : VIA TIZIANO VECELLIO, 14  30016 JESOLO VE Tipologia di utenza : Uso Pubblico</t>
  </si>
  <si>
    <t>Fattura n.810001449374 del 21/02/2023 - SERVIZIO IDRICO INTEGRATO periodo 27.10.2022-30.01.2023 Cliente: 1001012097 - Contratto: 3001442723 Servizio fornito in : VIA POLLASTRONA, 4  30021 CAORLE VE Tipologia di utenza : Uso Pubblico</t>
  </si>
  <si>
    <t>Fattura n.810001450223 del 21/02/2023 - SERVIZIO IDRICO INTEGRATO periodo 27.10.2022-30.01.2023 Cliente: 1000998020 - Contratto: 3001402151 Servizio fornito in : VIA POLLASTRONA, 7  30021 CAORLE VE Tipologia di utenza : Uso Pubblico</t>
  </si>
  <si>
    <t>Fattura n.810001454136 del 21/02/2023 - SERVIZIO IDRICO INTEGRATO periodo 02.06.2022-30.01.2023 Cliente: 1000987474 - Contratto: 3001436967 Servizio fornito in : VIA PESARONA, 4  30016 JESOLO VE Tipologia di utenza : Uso Pubblico</t>
  </si>
  <si>
    <t>Fattura n.810001450567 del 21/02/2023 - SERVIZIO IDRICO INTEGRATO periodo 27.10.2022-30.01.2023 Cliente: 1000949636 - Contratto: 3001453422 Servizio fornito in : VIA VALLE ALTANEA, 201  30021 CAORLE VE Tipologia di utenza : Uso Pubblico</t>
  </si>
  <si>
    <t xml:space="preserve"> SERVIZIO IDRICO INTEGRATO periodo 24.05.2022-31.12.2022 Cliente: 1001012091 - Contratto: 3001442717 Servizio fornito in : VIA RIVIERA SILE, 33  30024 MUSILE DI PIAVE VE Tipologia di utenza : Uso Pubblico</t>
  </si>
  <si>
    <t>IVA su fattura pagata con mandato n.490/2023</t>
  </si>
  <si>
    <t>CIG:YDD39ED350 - fornitura carburante mezzi cons.li 2^ quindicina mese 01/2023</t>
  </si>
  <si>
    <t>Fattura n.29055670 del 31/01/2023  - CIG:YDD39ED350 - fornitura carburante mezzi cons.li 2^ quindicina mese 01/2023</t>
  </si>
  <si>
    <t xml:space="preserve">IVA su fattura pagata con mandato n.492/2023 </t>
  </si>
  <si>
    <t>CIG:YDD39ED350 - fornitura carburante mezzi cons.li mese 02/2023</t>
  </si>
  <si>
    <t>Fattura n.29142693 del 17/02/2023  - CIG:YDD39ED350 - fornitura carburante mezzi cons.li 1^ quindicina mese 02/2023</t>
  </si>
  <si>
    <t>Fattura n.29182528 del 28/02/2023  - CIG:YDD39ED350 - fornitura carburante mezzi cons.li 2^ quindicina mese 02/2023</t>
  </si>
  <si>
    <t xml:space="preserve">IVA su fattura pagata con mandato n.494/2023 </t>
  </si>
  <si>
    <t xml:space="preserve"> Fornitura gas metano sede Portogruaro mese 02/2023</t>
  </si>
  <si>
    <t>Fattura n.832301441699 del 10/03/2023 - Fornitura gas metano sede Portogruaro mese 02/2023</t>
  </si>
  <si>
    <t xml:space="preserve">IVA su fattura pagata con mandato n.496/2023 </t>
  </si>
  <si>
    <t>Fornitura gas metano sede San Dona' di Piave mese 01/2023</t>
  </si>
  <si>
    <t>Fattura n.V120230000199284 del 13/02/2023 - Fornitura gas metano sede San Dona' di Piave mese 01/2023</t>
  </si>
  <si>
    <t xml:space="preserve">IVA su fattura pagata con mandato n.498/2023 </t>
  </si>
  <si>
    <t>Canone mese 03/2023</t>
  </si>
  <si>
    <t>Fattura n.900009553T del 30/03/2023 - Canone mese 03/2023</t>
  </si>
  <si>
    <t xml:space="preserve">IVA su fattura pagata con mandato n.502/2023 </t>
  </si>
  <si>
    <t>Addebito parcheggio 01/03/2023 effettuato dal direttore generale per ragioni di servizio</t>
  </si>
  <si>
    <t>Centro di costo 460/001/002 - 2023 - CIG: - Fornitura gas metano da riscaldamento per l'esercizio della sede di San Donà di Piave</t>
  </si>
  <si>
    <t>Fornitura gas metano sede San Dona' di Piave mese 02/2023</t>
  </si>
  <si>
    <t>Fattura n.V120230000376262 del 10/03/2023 - Fornitura gas metano sede San Dona' di Piave mese 02/2023</t>
  </si>
  <si>
    <t xml:space="preserve">IVA su fattura pagata con mandato n.505/2023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</si>
</sst>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11" fontId="0" fillId="0" borderId="0" xfId="0" applyNumberFormat="1"/>
    <xf numFmtId="17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60"/>
  <sheetViews>
    <sheetView tabSelected="1" topLeftCell="L1048" workbookViewId="0">
      <selection activeCell="Z596" sqref="Z596"/>
    </sheetView>
  </sheetViews>
  <sheetFormatPr defaultRowHeight="15" x14ac:dyDescent="0.25"/>
  <cols>
    <col min="3" max="3" width="10.7109375" bestFit="1" customWidth="1"/>
    <col min="11" max="11" width="69.140625" bestFit="1" customWidth="1"/>
    <col min="26" max="26" width="94.140625" bestFit="1" customWidth="1"/>
    <col min="27" max="27" width="19.7109375" bestFit="1" customWidth="1"/>
    <col min="42" max="42" width="12.5703125" bestFit="1" customWidth="1"/>
    <col min="53" max="53" width="14.7109375" bestFit="1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25">
      <c r="A2">
        <v>2023</v>
      </c>
      <c r="B2">
        <v>1</v>
      </c>
      <c r="C2" s="1">
        <v>44936</v>
      </c>
      <c r="D2">
        <v>2023</v>
      </c>
      <c r="E2">
        <v>2023</v>
      </c>
      <c r="F2">
        <v>1</v>
      </c>
      <c r="H2" t="s">
        <v>54</v>
      </c>
      <c r="I2">
        <v>460</v>
      </c>
      <c r="J2">
        <v>0</v>
      </c>
      <c r="K2" t="s">
        <v>55</v>
      </c>
      <c r="W2" t="s">
        <v>56</v>
      </c>
      <c r="Y2">
        <v>132</v>
      </c>
      <c r="Z2" t="s">
        <v>57</v>
      </c>
      <c r="AA2" t="s">
        <v>58</v>
      </c>
      <c r="AB2" t="s">
        <v>59</v>
      </c>
      <c r="AC2" t="s">
        <v>60</v>
      </c>
      <c r="AP2" s="2">
        <v>9000</v>
      </c>
      <c r="AQ2">
        <v>0</v>
      </c>
      <c r="AR2">
        <v>0</v>
      </c>
      <c r="BA2">
        <v>9000</v>
      </c>
      <c r="BB2" s="1">
        <v>44936</v>
      </c>
    </row>
    <row r="3" spans="1:54" x14ac:dyDescent="0.25">
      <c r="A3">
        <v>2023</v>
      </c>
      <c r="B3">
        <v>2</v>
      </c>
      <c r="C3" s="1">
        <v>44939</v>
      </c>
      <c r="D3">
        <v>2023</v>
      </c>
      <c r="E3">
        <v>2022</v>
      </c>
      <c r="F3">
        <v>18</v>
      </c>
      <c r="H3" t="s">
        <v>61</v>
      </c>
      <c r="I3">
        <v>143</v>
      </c>
      <c r="J3">
        <v>0</v>
      </c>
      <c r="K3" t="s">
        <v>62</v>
      </c>
      <c r="R3" t="s">
        <v>63</v>
      </c>
      <c r="S3" t="str">
        <f>"33"</f>
        <v>33</v>
      </c>
      <c r="T3" t="s">
        <v>64</v>
      </c>
      <c r="W3" t="s">
        <v>65</v>
      </c>
      <c r="Y3">
        <v>3142</v>
      </c>
      <c r="Z3" t="s">
        <v>66</v>
      </c>
      <c r="AB3" t="str">
        <f>"01269980338"</f>
        <v>01269980338</v>
      </c>
      <c r="AC3" t="s">
        <v>67</v>
      </c>
      <c r="AF3">
        <v>2023</v>
      </c>
      <c r="AG3">
        <v>4</v>
      </c>
      <c r="AH3" t="str">
        <f>"7"</f>
        <v>7</v>
      </c>
      <c r="AI3" t="str">
        <f>"19"</f>
        <v>19</v>
      </c>
      <c r="AJ3" s="1">
        <v>44939</v>
      </c>
      <c r="AK3" t="s">
        <v>68</v>
      </c>
      <c r="AL3" s="2">
        <v>1490.3</v>
      </c>
      <c r="AN3">
        <v>2023</v>
      </c>
      <c r="AO3">
        <v>5</v>
      </c>
      <c r="AP3" s="2">
        <v>1490.3</v>
      </c>
      <c r="AQ3">
        <v>0</v>
      </c>
      <c r="AR3">
        <v>0</v>
      </c>
      <c r="BA3">
        <v>1490.3</v>
      </c>
      <c r="BB3" s="1">
        <v>44937</v>
      </c>
    </row>
    <row r="4" spans="1:54" x14ac:dyDescent="0.25">
      <c r="A4">
        <v>2023</v>
      </c>
      <c r="B4">
        <v>3</v>
      </c>
      <c r="C4" s="1">
        <v>44939</v>
      </c>
      <c r="D4">
        <v>2023</v>
      </c>
      <c r="E4">
        <v>2022</v>
      </c>
      <c r="F4">
        <v>27</v>
      </c>
      <c r="H4" t="s">
        <v>69</v>
      </c>
      <c r="I4">
        <v>160</v>
      </c>
      <c r="J4">
        <v>0</v>
      </c>
      <c r="K4" t="s">
        <v>70</v>
      </c>
      <c r="S4" t="str">
        <f>"33"</f>
        <v>33</v>
      </c>
      <c r="T4" t="s">
        <v>64</v>
      </c>
      <c r="W4" t="s">
        <v>71</v>
      </c>
      <c r="Y4">
        <v>253</v>
      </c>
      <c r="Z4" t="s">
        <v>72</v>
      </c>
      <c r="AB4" t="str">
        <f>"80007580279"</f>
        <v>80007580279</v>
      </c>
      <c r="AC4" t="s">
        <v>67</v>
      </c>
      <c r="AF4">
        <v>2023</v>
      </c>
      <c r="AG4">
        <v>38</v>
      </c>
      <c r="AH4" t="s">
        <v>73</v>
      </c>
      <c r="AI4" t="str">
        <f>"20"</f>
        <v>20</v>
      </c>
      <c r="AJ4" s="1">
        <v>44939</v>
      </c>
      <c r="AK4" t="s">
        <v>74</v>
      </c>
      <c r="AL4" s="2">
        <v>46357</v>
      </c>
      <c r="AP4" s="2">
        <v>43211</v>
      </c>
      <c r="AQ4">
        <v>0</v>
      </c>
      <c r="AR4">
        <v>0</v>
      </c>
      <c r="BA4">
        <v>43211</v>
      </c>
      <c r="BB4" s="1">
        <v>44939</v>
      </c>
    </row>
    <row r="5" spans="1:54" x14ac:dyDescent="0.25">
      <c r="A5">
        <v>2023</v>
      </c>
      <c r="B5">
        <v>4</v>
      </c>
      <c r="C5" s="1">
        <v>44939</v>
      </c>
      <c r="D5">
        <v>2023</v>
      </c>
      <c r="E5">
        <v>2020</v>
      </c>
      <c r="F5">
        <v>60</v>
      </c>
      <c r="H5" t="s">
        <v>75</v>
      </c>
      <c r="I5">
        <v>160</v>
      </c>
      <c r="J5">
        <v>0</v>
      </c>
      <c r="K5" t="s">
        <v>70</v>
      </c>
      <c r="S5" t="str">
        <f>"33"</f>
        <v>33</v>
      </c>
      <c r="T5" t="s">
        <v>64</v>
      </c>
      <c r="W5" t="s">
        <v>71</v>
      </c>
      <c r="Y5">
        <v>253</v>
      </c>
      <c r="Z5" t="s">
        <v>72</v>
      </c>
      <c r="AB5" t="str">
        <f>"80007580279"</f>
        <v>80007580279</v>
      </c>
      <c r="AC5" t="s">
        <v>67</v>
      </c>
      <c r="AF5">
        <v>2023</v>
      </c>
      <c r="AG5">
        <v>38</v>
      </c>
      <c r="AH5" t="s">
        <v>73</v>
      </c>
      <c r="AI5" t="str">
        <f>"20"</f>
        <v>20</v>
      </c>
      <c r="AJ5" s="1">
        <v>44939</v>
      </c>
      <c r="AK5" t="s">
        <v>74</v>
      </c>
      <c r="AL5" s="2">
        <v>46357</v>
      </c>
      <c r="AP5" s="2">
        <v>2415</v>
      </c>
      <c r="AQ5">
        <v>0</v>
      </c>
      <c r="AR5">
        <v>0</v>
      </c>
      <c r="BA5">
        <v>2415</v>
      </c>
      <c r="BB5" s="1">
        <v>44939</v>
      </c>
    </row>
    <row r="6" spans="1:54" x14ac:dyDescent="0.25">
      <c r="A6">
        <v>2023</v>
      </c>
      <c r="B6">
        <v>5</v>
      </c>
      <c r="C6" s="1">
        <v>44939</v>
      </c>
      <c r="D6">
        <v>2023</v>
      </c>
      <c r="E6">
        <v>2022</v>
      </c>
      <c r="F6">
        <v>13</v>
      </c>
      <c r="H6" t="s">
        <v>76</v>
      </c>
      <c r="I6">
        <v>100</v>
      </c>
      <c r="J6">
        <v>0</v>
      </c>
      <c r="K6" t="s">
        <v>77</v>
      </c>
      <c r="S6" t="str">
        <f>"30"</f>
        <v>30</v>
      </c>
      <c r="T6" t="s">
        <v>78</v>
      </c>
      <c r="W6" t="s">
        <v>79</v>
      </c>
      <c r="Y6">
        <v>253</v>
      </c>
      <c r="Z6" t="s">
        <v>72</v>
      </c>
      <c r="AB6" t="str">
        <f>"80007580279"</f>
        <v>80007580279</v>
      </c>
      <c r="AC6" t="s">
        <v>67</v>
      </c>
      <c r="AF6">
        <v>2023</v>
      </c>
      <c r="AG6">
        <v>38</v>
      </c>
      <c r="AH6" t="s">
        <v>73</v>
      </c>
      <c r="AI6" t="str">
        <f>"20"</f>
        <v>20</v>
      </c>
      <c r="AJ6" s="1">
        <v>44939</v>
      </c>
      <c r="AK6" t="s">
        <v>74</v>
      </c>
      <c r="AL6" s="2">
        <v>46357</v>
      </c>
      <c r="AP6">
        <v>238</v>
      </c>
      <c r="AQ6">
        <v>0</v>
      </c>
      <c r="AR6">
        <v>0</v>
      </c>
      <c r="BA6">
        <v>238</v>
      </c>
      <c r="BB6" s="1">
        <v>44939</v>
      </c>
    </row>
    <row r="7" spans="1:54" x14ac:dyDescent="0.25">
      <c r="A7">
        <v>2023</v>
      </c>
      <c r="B7">
        <v>6</v>
      </c>
      <c r="C7" s="1">
        <v>44939</v>
      </c>
      <c r="D7">
        <v>2023</v>
      </c>
      <c r="E7">
        <v>2022</v>
      </c>
      <c r="F7">
        <v>15</v>
      </c>
      <c r="H7" t="s">
        <v>80</v>
      </c>
      <c r="I7">
        <v>100</v>
      </c>
      <c r="J7">
        <v>0</v>
      </c>
      <c r="K7" t="s">
        <v>77</v>
      </c>
      <c r="S7" t="str">
        <f>"30"</f>
        <v>30</v>
      </c>
      <c r="T7" t="s">
        <v>78</v>
      </c>
      <c r="W7" t="s">
        <v>81</v>
      </c>
      <c r="Y7">
        <v>253</v>
      </c>
      <c r="Z7" t="s">
        <v>72</v>
      </c>
      <c r="AB7" t="str">
        <f>"80007580279"</f>
        <v>80007580279</v>
      </c>
      <c r="AC7" t="s">
        <v>67</v>
      </c>
      <c r="AF7">
        <v>2023</v>
      </c>
      <c r="AG7">
        <v>38</v>
      </c>
      <c r="AH7" t="s">
        <v>73</v>
      </c>
      <c r="AI7" t="str">
        <f>"20"</f>
        <v>20</v>
      </c>
      <c r="AJ7" s="1">
        <v>44939</v>
      </c>
      <c r="AK7" t="s">
        <v>74</v>
      </c>
      <c r="AL7" s="2">
        <v>46357</v>
      </c>
      <c r="AP7">
        <v>493</v>
      </c>
      <c r="AQ7">
        <v>0</v>
      </c>
      <c r="AR7">
        <v>0</v>
      </c>
      <c r="BA7">
        <v>493</v>
      </c>
      <c r="BB7" s="1">
        <v>44939</v>
      </c>
    </row>
    <row r="8" spans="1:54" x14ac:dyDescent="0.25">
      <c r="A8">
        <v>2023</v>
      </c>
      <c r="B8">
        <v>7</v>
      </c>
      <c r="C8" s="1">
        <v>44943</v>
      </c>
      <c r="D8">
        <v>2023</v>
      </c>
      <c r="E8">
        <v>2022</v>
      </c>
      <c r="F8">
        <v>209</v>
      </c>
      <c r="H8" t="s">
        <v>82</v>
      </c>
      <c r="I8">
        <v>420</v>
      </c>
      <c r="J8">
        <v>0</v>
      </c>
      <c r="K8" t="s">
        <v>83</v>
      </c>
      <c r="W8" t="s">
        <v>84</v>
      </c>
      <c r="Y8">
        <v>1765</v>
      </c>
      <c r="Z8" t="s">
        <v>85</v>
      </c>
      <c r="AC8" t="s">
        <v>67</v>
      </c>
      <c r="AF8">
        <v>2023</v>
      </c>
      <c r="AG8">
        <v>34</v>
      </c>
      <c r="AH8" t="s">
        <v>73</v>
      </c>
      <c r="AI8" t="str">
        <f t="shared" ref="AI8:AI15" si="0">"23"</f>
        <v>23</v>
      </c>
      <c r="AJ8" s="1">
        <v>44942</v>
      </c>
      <c r="AK8" t="s">
        <v>86</v>
      </c>
      <c r="AL8" s="2">
        <v>135808.15</v>
      </c>
      <c r="AP8" s="2">
        <v>119394.77</v>
      </c>
      <c r="AQ8">
        <v>0</v>
      </c>
      <c r="AR8">
        <v>0</v>
      </c>
      <c r="BA8">
        <v>119394.77</v>
      </c>
      <c r="BB8" s="1">
        <v>44943</v>
      </c>
    </row>
    <row r="9" spans="1:54" x14ac:dyDescent="0.25">
      <c r="A9">
        <v>2023</v>
      </c>
      <c r="B9">
        <v>8</v>
      </c>
      <c r="C9" s="1">
        <v>44943</v>
      </c>
      <c r="D9">
        <v>2023</v>
      </c>
      <c r="E9">
        <v>2022</v>
      </c>
      <c r="F9">
        <v>208</v>
      </c>
      <c r="H9" t="s">
        <v>87</v>
      </c>
      <c r="I9">
        <v>420</v>
      </c>
      <c r="J9">
        <v>0</v>
      </c>
      <c r="K9" t="s">
        <v>83</v>
      </c>
      <c r="W9" t="s">
        <v>88</v>
      </c>
      <c r="Y9">
        <v>1765</v>
      </c>
      <c r="Z9" t="s">
        <v>85</v>
      </c>
      <c r="AC9" t="s">
        <v>67</v>
      </c>
      <c r="AF9">
        <v>2023</v>
      </c>
      <c r="AG9">
        <v>34</v>
      </c>
      <c r="AH9" t="s">
        <v>73</v>
      </c>
      <c r="AI9" t="str">
        <f t="shared" si="0"/>
        <v>23</v>
      </c>
      <c r="AJ9" s="1">
        <v>44942</v>
      </c>
      <c r="AK9" t="s">
        <v>86</v>
      </c>
      <c r="AL9" s="2">
        <v>135808.15</v>
      </c>
      <c r="AP9" s="2">
        <v>16413.38</v>
      </c>
      <c r="AQ9">
        <v>0</v>
      </c>
      <c r="AR9">
        <v>0</v>
      </c>
      <c r="BA9">
        <v>16413.38</v>
      </c>
      <c r="BB9" s="1">
        <v>44943</v>
      </c>
    </row>
    <row r="10" spans="1:54" x14ac:dyDescent="0.25">
      <c r="A10">
        <v>2023</v>
      </c>
      <c r="B10">
        <v>9</v>
      </c>
      <c r="C10" s="1">
        <v>44943</v>
      </c>
      <c r="D10">
        <v>2023</v>
      </c>
      <c r="E10">
        <v>2022</v>
      </c>
      <c r="F10">
        <v>26</v>
      </c>
      <c r="H10" t="s">
        <v>89</v>
      </c>
      <c r="I10">
        <v>116</v>
      </c>
      <c r="J10">
        <v>0</v>
      </c>
      <c r="K10" t="s">
        <v>90</v>
      </c>
      <c r="S10" t="str">
        <f t="shared" ref="S10:S21" si="1">"30"</f>
        <v>30</v>
      </c>
      <c r="T10" t="s">
        <v>78</v>
      </c>
      <c r="W10" t="s">
        <v>91</v>
      </c>
      <c r="Y10">
        <v>184</v>
      </c>
      <c r="Z10" t="s">
        <v>92</v>
      </c>
      <c r="AC10" t="s">
        <v>67</v>
      </c>
      <c r="AF10">
        <v>2023</v>
      </c>
      <c r="AG10">
        <v>35</v>
      </c>
      <c r="AH10" t="s">
        <v>73</v>
      </c>
      <c r="AI10" t="str">
        <f t="shared" si="0"/>
        <v>23</v>
      </c>
      <c r="AJ10" s="1">
        <v>44942</v>
      </c>
      <c r="AK10" t="s">
        <v>93</v>
      </c>
      <c r="AL10" s="2">
        <v>139216</v>
      </c>
      <c r="AP10" s="2">
        <v>101747.41</v>
      </c>
      <c r="AQ10">
        <v>0</v>
      </c>
      <c r="AR10">
        <v>0</v>
      </c>
      <c r="BA10">
        <v>101747.41</v>
      </c>
      <c r="BB10" s="1">
        <v>44943</v>
      </c>
    </row>
    <row r="11" spans="1:54" x14ac:dyDescent="0.25">
      <c r="A11">
        <v>2023</v>
      </c>
      <c r="B11">
        <v>10</v>
      </c>
      <c r="C11" s="1">
        <v>44943</v>
      </c>
      <c r="D11">
        <v>2023</v>
      </c>
      <c r="E11">
        <v>2022</v>
      </c>
      <c r="F11">
        <v>56</v>
      </c>
      <c r="H11" t="s">
        <v>94</v>
      </c>
      <c r="I11">
        <v>400</v>
      </c>
      <c r="J11">
        <v>0</v>
      </c>
      <c r="K11" t="s">
        <v>95</v>
      </c>
      <c r="S11" t="str">
        <f t="shared" si="1"/>
        <v>30</v>
      </c>
      <c r="T11" t="s">
        <v>78</v>
      </c>
      <c r="W11" t="s">
        <v>96</v>
      </c>
      <c r="Y11">
        <v>184</v>
      </c>
      <c r="Z11" t="s">
        <v>92</v>
      </c>
      <c r="AC11" t="s">
        <v>67</v>
      </c>
      <c r="AF11">
        <v>2023</v>
      </c>
      <c r="AG11">
        <v>35</v>
      </c>
      <c r="AH11" t="s">
        <v>73</v>
      </c>
      <c r="AI11" t="str">
        <f t="shared" si="0"/>
        <v>23</v>
      </c>
      <c r="AJ11" s="1">
        <v>44942</v>
      </c>
      <c r="AK11" t="s">
        <v>93</v>
      </c>
      <c r="AL11" s="2">
        <v>139216</v>
      </c>
      <c r="AP11" s="2">
        <v>35171.589999999997</v>
      </c>
      <c r="AQ11">
        <v>0</v>
      </c>
      <c r="AR11">
        <v>0</v>
      </c>
      <c r="BA11">
        <v>35171.589999999997</v>
      </c>
      <c r="BB11" s="1">
        <v>44943</v>
      </c>
    </row>
    <row r="12" spans="1:54" x14ac:dyDescent="0.25">
      <c r="A12">
        <v>2023</v>
      </c>
      <c r="B12">
        <v>11</v>
      </c>
      <c r="C12" s="1">
        <v>44943</v>
      </c>
      <c r="D12">
        <v>2023</v>
      </c>
      <c r="E12">
        <v>2022</v>
      </c>
      <c r="F12">
        <v>13</v>
      </c>
      <c r="H12" t="s">
        <v>76</v>
      </c>
      <c r="I12">
        <v>100</v>
      </c>
      <c r="J12">
        <v>0</v>
      </c>
      <c r="K12" t="s">
        <v>77</v>
      </c>
      <c r="S12" t="str">
        <f t="shared" si="1"/>
        <v>30</v>
      </c>
      <c r="T12" t="s">
        <v>78</v>
      </c>
      <c r="W12" t="s">
        <v>97</v>
      </c>
      <c r="Y12">
        <v>184</v>
      </c>
      <c r="Z12" t="s">
        <v>92</v>
      </c>
      <c r="AC12" t="s">
        <v>67</v>
      </c>
      <c r="AF12">
        <v>2023</v>
      </c>
      <c r="AG12">
        <v>35</v>
      </c>
      <c r="AH12" t="s">
        <v>73</v>
      </c>
      <c r="AI12" t="str">
        <f t="shared" si="0"/>
        <v>23</v>
      </c>
      <c r="AJ12" s="1">
        <v>44942</v>
      </c>
      <c r="AK12" t="s">
        <v>93</v>
      </c>
      <c r="AL12" s="2">
        <v>139216</v>
      </c>
      <c r="AP12" s="2">
        <v>1531.32</v>
      </c>
      <c r="AQ12">
        <v>0</v>
      </c>
      <c r="AR12">
        <v>0</v>
      </c>
      <c r="BA12">
        <v>1531.32</v>
      </c>
      <c r="BB12" s="1">
        <v>44943</v>
      </c>
    </row>
    <row r="13" spans="1:54" x14ac:dyDescent="0.25">
      <c r="A13">
        <v>2023</v>
      </c>
      <c r="B13">
        <v>12</v>
      </c>
      <c r="C13" s="1">
        <v>44943</v>
      </c>
      <c r="D13">
        <v>2023</v>
      </c>
      <c r="E13">
        <v>2022</v>
      </c>
      <c r="F13">
        <v>56</v>
      </c>
      <c r="H13" t="s">
        <v>94</v>
      </c>
      <c r="I13">
        <v>400</v>
      </c>
      <c r="J13">
        <v>0</v>
      </c>
      <c r="K13" t="s">
        <v>95</v>
      </c>
      <c r="S13" t="str">
        <f t="shared" si="1"/>
        <v>30</v>
      </c>
      <c r="T13" t="s">
        <v>78</v>
      </c>
      <c r="W13" t="s">
        <v>97</v>
      </c>
      <c r="Y13">
        <v>184</v>
      </c>
      <c r="Z13" t="s">
        <v>92</v>
      </c>
      <c r="AC13" t="s">
        <v>67</v>
      </c>
      <c r="AF13">
        <v>2023</v>
      </c>
      <c r="AG13">
        <v>35</v>
      </c>
      <c r="AH13" t="s">
        <v>73</v>
      </c>
      <c r="AI13" t="str">
        <f t="shared" si="0"/>
        <v>23</v>
      </c>
      <c r="AJ13" s="1">
        <v>44942</v>
      </c>
      <c r="AK13" t="s">
        <v>93</v>
      </c>
      <c r="AL13" s="2">
        <v>139216</v>
      </c>
      <c r="AP13">
        <v>765.68</v>
      </c>
      <c r="AQ13">
        <v>0</v>
      </c>
      <c r="AR13">
        <v>0</v>
      </c>
      <c r="BA13">
        <v>765.68</v>
      </c>
      <c r="BB13" s="1">
        <v>44943</v>
      </c>
    </row>
    <row r="14" spans="1:54" x14ac:dyDescent="0.25">
      <c r="A14">
        <v>2023</v>
      </c>
      <c r="B14">
        <v>13</v>
      </c>
      <c r="C14" s="1">
        <v>44943</v>
      </c>
      <c r="D14">
        <v>2023</v>
      </c>
      <c r="E14">
        <v>2022</v>
      </c>
      <c r="F14">
        <v>26</v>
      </c>
      <c r="H14" t="s">
        <v>89</v>
      </c>
      <c r="I14">
        <v>116</v>
      </c>
      <c r="J14">
        <v>0</v>
      </c>
      <c r="K14" t="s">
        <v>90</v>
      </c>
      <c r="S14" t="str">
        <f t="shared" si="1"/>
        <v>30</v>
      </c>
      <c r="T14" t="s">
        <v>78</v>
      </c>
      <c r="W14" t="s">
        <v>98</v>
      </c>
      <c r="Y14">
        <v>185</v>
      </c>
      <c r="Z14" t="s">
        <v>99</v>
      </c>
      <c r="AB14" t="str">
        <f>"97095380586"</f>
        <v>97095380586</v>
      </c>
      <c r="AC14" t="s">
        <v>67</v>
      </c>
      <c r="AF14">
        <v>2023</v>
      </c>
      <c r="AG14">
        <v>36</v>
      </c>
      <c r="AH14" t="s">
        <v>73</v>
      </c>
      <c r="AI14" t="str">
        <f t="shared" si="0"/>
        <v>23</v>
      </c>
      <c r="AJ14" s="1">
        <v>44942</v>
      </c>
      <c r="AK14" t="s">
        <v>100</v>
      </c>
      <c r="AL14">
        <v>422.27</v>
      </c>
      <c r="AP14">
        <v>363.96</v>
      </c>
      <c r="AQ14">
        <v>0</v>
      </c>
      <c r="AR14">
        <v>0</v>
      </c>
      <c r="BA14">
        <v>363.96</v>
      </c>
      <c r="BB14" s="1">
        <v>44943</v>
      </c>
    </row>
    <row r="15" spans="1:54" x14ac:dyDescent="0.25">
      <c r="A15">
        <v>2023</v>
      </c>
      <c r="B15">
        <v>14</v>
      </c>
      <c r="C15" s="1">
        <v>44943</v>
      </c>
      <c r="D15">
        <v>2023</v>
      </c>
      <c r="E15">
        <v>2022</v>
      </c>
      <c r="F15">
        <v>56</v>
      </c>
      <c r="H15" t="s">
        <v>94</v>
      </c>
      <c r="I15">
        <v>400</v>
      </c>
      <c r="J15">
        <v>0</v>
      </c>
      <c r="K15" t="s">
        <v>95</v>
      </c>
      <c r="S15" t="str">
        <f t="shared" si="1"/>
        <v>30</v>
      </c>
      <c r="T15" t="s">
        <v>78</v>
      </c>
      <c r="W15" t="s">
        <v>96</v>
      </c>
      <c r="Y15">
        <v>185</v>
      </c>
      <c r="Z15" t="s">
        <v>99</v>
      </c>
      <c r="AB15" t="str">
        <f>"97095380586"</f>
        <v>97095380586</v>
      </c>
      <c r="AC15" t="s">
        <v>67</v>
      </c>
      <c r="AF15">
        <v>2023</v>
      </c>
      <c r="AG15">
        <v>36</v>
      </c>
      <c r="AH15" t="s">
        <v>73</v>
      </c>
      <c r="AI15" t="str">
        <f t="shared" si="0"/>
        <v>23</v>
      </c>
      <c r="AJ15" s="1">
        <v>44942</v>
      </c>
      <c r="AK15" t="s">
        <v>100</v>
      </c>
      <c r="AL15">
        <v>422.27</v>
      </c>
      <c r="AP15">
        <v>58.31</v>
      </c>
      <c r="AQ15">
        <v>0</v>
      </c>
      <c r="AR15">
        <v>0</v>
      </c>
      <c r="BA15">
        <v>58.31</v>
      </c>
      <c r="BB15" s="1">
        <v>44943</v>
      </c>
    </row>
    <row r="16" spans="1:54" x14ac:dyDescent="0.25">
      <c r="A16">
        <v>2023</v>
      </c>
      <c r="B16">
        <v>15</v>
      </c>
      <c r="C16" s="1">
        <v>44943</v>
      </c>
      <c r="D16">
        <v>2023</v>
      </c>
      <c r="E16">
        <v>2022</v>
      </c>
      <c r="F16">
        <v>26</v>
      </c>
      <c r="H16" t="s">
        <v>89</v>
      </c>
      <c r="I16">
        <v>116</v>
      </c>
      <c r="J16">
        <v>0</v>
      </c>
      <c r="K16" t="s">
        <v>90</v>
      </c>
      <c r="S16" t="str">
        <f t="shared" si="1"/>
        <v>30</v>
      </c>
      <c r="T16" t="s">
        <v>78</v>
      </c>
      <c r="W16" t="s">
        <v>101</v>
      </c>
      <c r="Y16">
        <v>1455</v>
      </c>
      <c r="Z16" t="s">
        <v>102</v>
      </c>
      <c r="AC16" t="s">
        <v>103</v>
      </c>
      <c r="AP16" s="2">
        <v>2760.72</v>
      </c>
      <c r="AQ16">
        <v>0</v>
      </c>
      <c r="AR16">
        <v>0</v>
      </c>
      <c r="BA16">
        <v>2760.72</v>
      </c>
      <c r="BB16" s="1">
        <v>44943</v>
      </c>
    </row>
    <row r="17" spans="1:54" x14ac:dyDescent="0.25">
      <c r="A17">
        <v>2023</v>
      </c>
      <c r="B17">
        <v>16</v>
      </c>
      <c r="C17" s="1">
        <v>44943</v>
      </c>
      <c r="D17">
        <v>2023</v>
      </c>
      <c r="E17">
        <v>2022</v>
      </c>
      <c r="F17">
        <v>56</v>
      </c>
      <c r="H17" t="s">
        <v>94</v>
      </c>
      <c r="I17">
        <v>400</v>
      </c>
      <c r="J17">
        <v>0</v>
      </c>
      <c r="K17" t="s">
        <v>95</v>
      </c>
      <c r="S17" t="str">
        <f t="shared" si="1"/>
        <v>30</v>
      </c>
      <c r="T17" t="s">
        <v>78</v>
      </c>
      <c r="W17" t="s">
        <v>104</v>
      </c>
      <c r="Y17">
        <v>1455</v>
      </c>
      <c r="Z17" t="s">
        <v>102</v>
      </c>
      <c r="AC17" t="s">
        <v>103</v>
      </c>
      <c r="AP17" s="2">
        <v>3706</v>
      </c>
      <c r="AQ17">
        <v>0</v>
      </c>
      <c r="AR17">
        <v>0</v>
      </c>
      <c r="BA17">
        <v>3706</v>
      </c>
      <c r="BB17" s="1">
        <v>44943</v>
      </c>
    </row>
    <row r="18" spans="1:54" x14ac:dyDescent="0.25">
      <c r="A18">
        <v>2023</v>
      </c>
      <c r="B18">
        <v>17</v>
      </c>
      <c r="C18" s="1">
        <v>44944</v>
      </c>
      <c r="D18">
        <v>2023</v>
      </c>
      <c r="E18">
        <v>2022</v>
      </c>
      <c r="F18">
        <v>26</v>
      </c>
      <c r="H18" t="s">
        <v>89</v>
      </c>
      <c r="I18">
        <v>116</v>
      </c>
      <c r="J18">
        <v>0</v>
      </c>
      <c r="K18" t="s">
        <v>90</v>
      </c>
      <c r="S18" t="str">
        <f t="shared" si="1"/>
        <v>30</v>
      </c>
      <c r="T18" t="s">
        <v>78</v>
      </c>
      <c r="W18" t="s">
        <v>105</v>
      </c>
      <c r="Y18">
        <v>186</v>
      </c>
      <c r="Z18" t="s">
        <v>106</v>
      </c>
      <c r="AB18" t="str">
        <f>"02070800582"</f>
        <v>02070800582</v>
      </c>
      <c r="AC18" t="s">
        <v>103</v>
      </c>
      <c r="AP18" s="2">
        <v>13739.1</v>
      </c>
      <c r="AQ18">
        <v>0</v>
      </c>
      <c r="AR18">
        <v>0</v>
      </c>
      <c r="BA18">
        <v>13739.1</v>
      </c>
      <c r="BB18" s="1">
        <v>44944</v>
      </c>
    </row>
    <row r="19" spans="1:54" x14ac:dyDescent="0.25">
      <c r="A19">
        <v>2023</v>
      </c>
      <c r="B19">
        <v>18</v>
      </c>
      <c r="C19" s="1">
        <v>44944</v>
      </c>
      <c r="D19">
        <v>2023</v>
      </c>
      <c r="E19">
        <v>2022</v>
      </c>
      <c r="F19">
        <v>56</v>
      </c>
      <c r="H19" t="s">
        <v>94</v>
      </c>
      <c r="I19">
        <v>400</v>
      </c>
      <c r="J19">
        <v>0</v>
      </c>
      <c r="K19" t="s">
        <v>95</v>
      </c>
      <c r="S19" t="str">
        <f t="shared" si="1"/>
        <v>30</v>
      </c>
      <c r="T19" t="s">
        <v>78</v>
      </c>
      <c r="W19" t="s">
        <v>107</v>
      </c>
      <c r="Y19">
        <v>186</v>
      </c>
      <c r="Z19" t="s">
        <v>106</v>
      </c>
      <c r="AB19" t="str">
        <f>"02070800582"</f>
        <v>02070800582</v>
      </c>
      <c r="AC19" t="s">
        <v>103</v>
      </c>
      <c r="AP19" s="2">
        <v>7084.92</v>
      </c>
      <c r="AQ19">
        <v>0</v>
      </c>
      <c r="AR19">
        <v>0</v>
      </c>
      <c r="BA19">
        <v>7084.92</v>
      </c>
      <c r="BB19" s="1">
        <v>44944</v>
      </c>
    </row>
    <row r="20" spans="1:54" x14ac:dyDescent="0.25">
      <c r="A20">
        <v>2023</v>
      </c>
      <c r="B20">
        <v>19</v>
      </c>
      <c r="C20" s="1">
        <v>44944</v>
      </c>
      <c r="D20">
        <v>2023</v>
      </c>
      <c r="E20">
        <v>2022</v>
      </c>
      <c r="F20">
        <v>26</v>
      </c>
      <c r="H20" t="s">
        <v>89</v>
      </c>
      <c r="I20">
        <v>116</v>
      </c>
      <c r="J20">
        <v>0</v>
      </c>
      <c r="K20" t="s">
        <v>90</v>
      </c>
      <c r="S20" t="str">
        <f t="shared" si="1"/>
        <v>30</v>
      </c>
      <c r="T20" t="s">
        <v>78</v>
      </c>
      <c r="W20" t="s">
        <v>108</v>
      </c>
      <c r="Y20">
        <v>186</v>
      </c>
      <c r="Z20" t="s">
        <v>106</v>
      </c>
      <c r="AB20" t="str">
        <f>"02070800582"</f>
        <v>02070800582</v>
      </c>
      <c r="AC20" t="s">
        <v>103</v>
      </c>
      <c r="AP20" s="2">
        <v>41603.56</v>
      </c>
      <c r="AQ20">
        <v>0</v>
      </c>
      <c r="AR20">
        <v>0</v>
      </c>
      <c r="BA20">
        <v>41603.56</v>
      </c>
      <c r="BB20" s="1">
        <v>44944</v>
      </c>
    </row>
    <row r="21" spans="1:54" x14ac:dyDescent="0.25">
      <c r="A21">
        <v>2023</v>
      </c>
      <c r="B21">
        <v>20</v>
      </c>
      <c r="C21" s="1">
        <v>44944</v>
      </c>
      <c r="D21">
        <v>2023</v>
      </c>
      <c r="E21">
        <v>2022</v>
      </c>
      <c r="F21">
        <v>46</v>
      </c>
      <c r="H21" t="s">
        <v>109</v>
      </c>
      <c r="I21">
        <v>165</v>
      </c>
      <c r="J21">
        <v>0</v>
      </c>
      <c r="K21" t="s">
        <v>110</v>
      </c>
      <c r="S21" t="str">
        <f t="shared" si="1"/>
        <v>30</v>
      </c>
      <c r="T21" t="s">
        <v>78</v>
      </c>
      <c r="W21" t="s">
        <v>111</v>
      </c>
      <c r="Y21">
        <v>186</v>
      </c>
      <c r="Z21" t="s">
        <v>106</v>
      </c>
      <c r="AB21" t="str">
        <f>"02070800582"</f>
        <v>02070800582</v>
      </c>
      <c r="AC21" t="s">
        <v>103</v>
      </c>
      <c r="AP21" s="2">
        <v>2070</v>
      </c>
      <c r="AQ21">
        <v>0</v>
      </c>
      <c r="AR21">
        <v>0</v>
      </c>
      <c r="BA21">
        <v>2070</v>
      </c>
      <c r="BB21" s="1">
        <v>44944</v>
      </c>
    </row>
    <row r="22" spans="1:54" x14ac:dyDescent="0.25">
      <c r="A22">
        <v>2023</v>
      </c>
      <c r="B22">
        <v>21</v>
      </c>
      <c r="C22" s="1">
        <v>44945</v>
      </c>
      <c r="D22">
        <v>2023</v>
      </c>
      <c r="E22">
        <v>2023</v>
      </c>
      <c r="F22">
        <v>8</v>
      </c>
      <c r="H22" t="s">
        <v>112</v>
      </c>
      <c r="I22">
        <v>440</v>
      </c>
      <c r="J22">
        <v>0</v>
      </c>
      <c r="K22" t="s">
        <v>113</v>
      </c>
      <c r="W22" t="s">
        <v>114</v>
      </c>
      <c r="Y22">
        <v>4045</v>
      </c>
      <c r="Z22" t="s">
        <v>115</v>
      </c>
      <c r="AB22" t="str">
        <f>"03951740269"</f>
        <v>03951740269</v>
      </c>
      <c r="AC22" t="s">
        <v>116</v>
      </c>
      <c r="AD22" t="s">
        <v>117</v>
      </c>
      <c r="AP22">
        <v>305</v>
      </c>
      <c r="AQ22">
        <v>0</v>
      </c>
      <c r="AR22">
        <v>0</v>
      </c>
      <c r="BA22">
        <v>305</v>
      </c>
      <c r="BB22" s="1">
        <v>44945</v>
      </c>
    </row>
    <row r="23" spans="1:54" x14ac:dyDescent="0.25">
      <c r="A23">
        <v>2023</v>
      </c>
      <c r="B23">
        <v>22</v>
      </c>
      <c r="C23" s="1">
        <v>44945</v>
      </c>
      <c r="D23">
        <v>2023</v>
      </c>
      <c r="E23">
        <v>2022</v>
      </c>
      <c r="F23">
        <v>26</v>
      </c>
      <c r="H23" t="s">
        <v>89</v>
      </c>
      <c r="I23">
        <v>116</v>
      </c>
      <c r="J23">
        <v>0</v>
      </c>
      <c r="K23" t="s">
        <v>90</v>
      </c>
      <c r="S23" t="str">
        <f>"30"</f>
        <v>30</v>
      </c>
      <c r="T23" t="s">
        <v>78</v>
      </c>
      <c r="W23" t="s">
        <v>118</v>
      </c>
      <c r="Y23">
        <v>184</v>
      </c>
      <c r="Z23" t="s">
        <v>92</v>
      </c>
      <c r="AC23" t="s">
        <v>60</v>
      </c>
      <c r="AP23" s="2">
        <v>2495</v>
      </c>
      <c r="AQ23">
        <v>0</v>
      </c>
      <c r="AR23">
        <v>0</v>
      </c>
      <c r="BA23">
        <v>2495</v>
      </c>
      <c r="BB23" s="1">
        <v>44945</v>
      </c>
    </row>
    <row r="24" spans="1:54" x14ac:dyDescent="0.25">
      <c r="A24">
        <v>2023</v>
      </c>
      <c r="B24">
        <v>23</v>
      </c>
      <c r="C24" s="1">
        <v>44949</v>
      </c>
      <c r="D24">
        <v>2023</v>
      </c>
      <c r="E24">
        <v>2020</v>
      </c>
      <c r="F24">
        <v>101</v>
      </c>
      <c r="H24" t="s">
        <v>119</v>
      </c>
      <c r="I24">
        <v>120</v>
      </c>
      <c r="J24">
        <v>0</v>
      </c>
      <c r="K24" t="s">
        <v>120</v>
      </c>
      <c r="R24" t="s">
        <v>121</v>
      </c>
      <c r="S24" t="str">
        <f>"31"</f>
        <v>31</v>
      </c>
      <c r="T24" t="s">
        <v>122</v>
      </c>
      <c r="W24" t="s">
        <v>123</v>
      </c>
      <c r="Y24">
        <v>363</v>
      </c>
      <c r="Z24" t="s">
        <v>124</v>
      </c>
      <c r="AB24" t="str">
        <f>"00484960588"</f>
        <v>00484960588</v>
      </c>
      <c r="AC24" t="s">
        <v>60</v>
      </c>
      <c r="AF24">
        <v>2022</v>
      </c>
      <c r="AG24">
        <v>3622</v>
      </c>
      <c r="AH24" t="str">
        <f t="shared" ref="AH24:AH32" si="2">"1"</f>
        <v>1</v>
      </c>
      <c r="AI24" t="str">
        <f>"269"</f>
        <v>269</v>
      </c>
      <c r="AJ24" s="1">
        <v>44914</v>
      </c>
      <c r="AK24" t="s">
        <v>125</v>
      </c>
      <c r="AL24" s="2">
        <v>6554.54</v>
      </c>
      <c r="AM24" t="str">
        <f>"8470538846"</f>
        <v>8470538846</v>
      </c>
      <c r="AN24">
        <v>2023</v>
      </c>
      <c r="AO24">
        <v>24</v>
      </c>
      <c r="AP24" s="2">
        <v>1181.97</v>
      </c>
      <c r="AQ24">
        <v>0</v>
      </c>
      <c r="AR24">
        <v>0</v>
      </c>
      <c r="BA24">
        <v>1181.97</v>
      </c>
      <c r="BB24" s="1">
        <v>44946</v>
      </c>
    </row>
    <row r="25" spans="1:54" x14ac:dyDescent="0.25">
      <c r="A25">
        <v>2023</v>
      </c>
      <c r="B25">
        <v>23</v>
      </c>
      <c r="C25" s="1">
        <v>44949</v>
      </c>
      <c r="D25">
        <v>2023</v>
      </c>
      <c r="E25">
        <v>2020</v>
      </c>
      <c r="F25">
        <v>101</v>
      </c>
      <c r="H25" t="s">
        <v>119</v>
      </c>
      <c r="I25">
        <v>120</v>
      </c>
      <c r="J25">
        <v>0</v>
      </c>
      <c r="K25" t="s">
        <v>120</v>
      </c>
      <c r="R25" t="s">
        <v>121</v>
      </c>
      <c r="S25" t="str">
        <f>"31"</f>
        <v>31</v>
      </c>
      <c r="T25" t="s">
        <v>122</v>
      </c>
      <c r="W25" t="s">
        <v>123</v>
      </c>
      <c r="Y25">
        <v>363</v>
      </c>
      <c r="Z25" t="s">
        <v>124</v>
      </c>
      <c r="AB25" t="str">
        <f>"00484960588"</f>
        <v>00484960588</v>
      </c>
      <c r="AC25" t="s">
        <v>60</v>
      </c>
      <c r="AF25">
        <v>2022</v>
      </c>
      <c r="AG25">
        <v>3719</v>
      </c>
      <c r="AH25" t="str">
        <f t="shared" si="2"/>
        <v>1</v>
      </c>
      <c r="AI25" t="str">
        <f>"277"</f>
        <v>277</v>
      </c>
      <c r="AJ25" s="1">
        <v>44925</v>
      </c>
      <c r="AK25" t="s">
        <v>126</v>
      </c>
      <c r="AL25" s="2">
        <v>6529.12</v>
      </c>
      <c r="AM25" t="str">
        <f>"8594932032"</f>
        <v>8594932032</v>
      </c>
      <c r="AN25">
        <v>2023</v>
      </c>
      <c r="AO25">
        <v>24</v>
      </c>
      <c r="AP25" s="2">
        <v>1177.3800000000001</v>
      </c>
      <c r="AQ25">
        <v>0</v>
      </c>
      <c r="AR25">
        <v>0</v>
      </c>
      <c r="BA25">
        <v>1177.3800000000001</v>
      </c>
      <c r="BB25" s="1">
        <v>44946</v>
      </c>
    </row>
    <row r="26" spans="1:54" x14ac:dyDescent="0.25">
      <c r="A26">
        <v>2023</v>
      </c>
      <c r="B26">
        <v>24</v>
      </c>
      <c r="C26" s="1">
        <v>44949</v>
      </c>
      <c r="D26">
        <v>2023</v>
      </c>
      <c r="E26">
        <v>2022</v>
      </c>
      <c r="F26">
        <v>74</v>
      </c>
      <c r="H26" t="s">
        <v>127</v>
      </c>
      <c r="I26">
        <v>130</v>
      </c>
      <c r="J26">
        <v>0</v>
      </c>
      <c r="K26" t="s">
        <v>128</v>
      </c>
      <c r="W26" t="s">
        <v>129</v>
      </c>
      <c r="Y26">
        <v>4056</v>
      </c>
      <c r="Z26" t="s">
        <v>130</v>
      </c>
      <c r="AB26" t="str">
        <f>"03773040138"</f>
        <v>03773040138</v>
      </c>
      <c r="AC26" t="s">
        <v>60</v>
      </c>
      <c r="AF26">
        <v>2022</v>
      </c>
      <c r="AG26">
        <v>3616</v>
      </c>
      <c r="AH26" t="str">
        <f t="shared" si="2"/>
        <v>1</v>
      </c>
      <c r="AI26" t="str">
        <f>"270"</f>
        <v>270</v>
      </c>
      <c r="AJ26" s="1">
        <v>44916</v>
      </c>
      <c r="AK26" t="s">
        <v>131</v>
      </c>
      <c r="AL26">
        <v>40.58</v>
      </c>
      <c r="AM26" t="str">
        <f>"8480385384"</f>
        <v>8480385384</v>
      </c>
      <c r="AN26">
        <v>2023</v>
      </c>
      <c r="AO26">
        <v>29</v>
      </c>
      <c r="AP26">
        <v>1.93</v>
      </c>
      <c r="AQ26">
        <v>0</v>
      </c>
      <c r="AR26">
        <v>0</v>
      </c>
      <c r="BA26">
        <v>1.93</v>
      </c>
      <c r="BB26" s="1">
        <v>44946</v>
      </c>
    </row>
    <row r="27" spans="1:54" x14ac:dyDescent="0.25">
      <c r="A27">
        <v>2023</v>
      </c>
      <c r="B27">
        <v>25</v>
      </c>
      <c r="C27" s="1">
        <v>44949</v>
      </c>
      <c r="D27">
        <v>2023</v>
      </c>
      <c r="E27">
        <v>2022</v>
      </c>
      <c r="F27">
        <v>727</v>
      </c>
      <c r="H27" t="s">
        <v>132</v>
      </c>
      <c r="I27">
        <v>130</v>
      </c>
      <c r="J27">
        <v>0</v>
      </c>
      <c r="K27" t="s">
        <v>128</v>
      </c>
      <c r="S27" t="str">
        <f>"31"</f>
        <v>31</v>
      </c>
      <c r="T27" t="s">
        <v>122</v>
      </c>
      <c r="W27" t="s">
        <v>133</v>
      </c>
      <c r="Y27">
        <v>4574</v>
      </c>
      <c r="Z27" t="s">
        <v>134</v>
      </c>
      <c r="AB27" t="str">
        <f>"00997630322"</f>
        <v>00997630322</v>
      </c>
      <c r="AC27" t="s">
        <v>60</v>
      </c>
      <c r="AF27">
        <v>2022</v>
      </c>
      <c r="AG27">
        <v>3824</v>
      </c>
      <c r="AH27" t="str">
        <f t="shared" si="2"/>
        <v>1</v>
      </c>
      <c r="AI27" t="str">
        <f>"275"</f>
        <v>275</v>
      </c>
      <c r="AJ27" s="1">
        <v>44925</v>
      </c>
      <c r="AK27" t="s">
        <v>135</v>
      </c>
      <c r="AL27" s="2">
        <v>6740.1</v>
      </c>
      <c r="AM27" t="str">
        <f>"8628902699"</f>
        <v>8628902699</v>
      </c>
      <c r="AN27">
        <v>2023</v>
      </c>
      <c r="AO27">
        <v>30</v>
      </c>
      <c r="AP27">
        <v>320.95999999999998</v>
      </c>
      <c r="AQ27">
        <v>0</v>
      </c>
      <c r="AR27">
        <v>0</v>
      </c>
      <c r="BA27">
        <v>320.95999999999998</v>
      </c>
      <c r="BB27" s="1">
        <v>44949</v>
      </c>
    </row>
    <row r="28" spans="1:54" x14ac:dyDescent="0.25">
      <c r="A28">
        <v>2023</v>
      </c>
      <c r="B28">
        <v>26</v>
      </c>
      <c r="C28" s="1">
        <v>44949</v>
      </c>
      <c r="D28">
        <v>2023</v>
      </c>
      <c r="E28">
        <v>2022</v>
      </c>
      <c r="F28">
        <v>203</v>
      </c>
      <c r="H28" t="s">
        <v>136</v>
      </c>
      <c r="I28">
        <v>119</v>
      </c>
      <c r="J28">
        <v>0</v>
      </c>
      <c r="K28" t="s">
        <v>137</v>
      </c>
      <c r="S28" t="str">
        <f>"31"</f>
        <v>31</v>
      </c>
      <c r="T28" t="s">
        <v>122</v>
      </c>
      <c r="W28" t="s">
        <v>138</v>
      </c>
      <c r="Y28">
        <v>2241</v>
      </c>
      <c r="Z28" t="s">
        <v>139</v>
      </c>
      <c r="AB28" t="str">
        <f>"07516911000"</f>
        <v>07516911000</v>
      </c>
      <c r="AC28" t="s">
        <v>60</v>
      </c>
      <c r="AF28">
        <v>2022</v>
      </c>
      <c r="AG28">
        <v>4046</v>
      </c>
      <c r="AH28" t="str">
        <f t="shared" si="2"/>
        <v>1</v>
      </c>
      <c r="AI28" t="str">
        <f>"276"</f>
        <v>276</v>
      </c>
      <c r="AJ28" s="1">
        <v>44925</v>
      </c>
      <c r="AK28" t="s">
        <v>140</v>
      </c>
      <c r="AL28">
        <v>189.7</v>
      </c>
      <c r="AM28" t="str">
        <f>"8740832715"</f>
        <v>8740832715</v>
      </c>
      <c r="AN28">
        <v>2023</v>
      </c>
      <c r="AO28">
        <v>38</v>
      </c>
      <c r="AP28">
        <v>34.21</v>
      </c>
      <c r="AQ28">
        <v>0</v>
      </c>
      <c r="AR28">
        <v>0</v>
      </c>
      <c r="BA28">
        <v>34.21</v>
      </c>
      <c r="BB28" s="1">
        <v>44949</v>
      </c>
    </row>
    <row r="29" spans="1:54" x14ac:dyDescent="0.25">
      <c r="A29">
        <v>2023</v>
      </c>
      <c r="B29">
        <v>27</v>
      </c>
      <c r="C29" s="1">
        <v>44949</v>
      </c>
      <c r="D29">
        <v>2023</v>
      </c>
      <c r="E29">
        <v>2022</v>
      </c>
      <c r="F29">
        <v>203</v>
      </c>
      <c r="H29" t="s">
        <v>136</v>
      </c>
      <c r="I29">
        <v>119</v>
      </c>
      <c r="J29">
        <v>0</v>
      </c>
      <c r="K29" t="s">
        <v>137</v>
      </c>
      <c r="S29" t="str">
        <f>"31"</f>
        <v>31</v>
      </c>
      <c r="T29" t="s">
        <v>122</v>
      </c>
      <c r="W29" t="s">
        <v>141</v>
      </c>
      <c r="Y29">
        <v>2167</v>
      </c>
      <c r="Z29" t="s">
        <v>142</v>
      </c>
      <c r="AB29" t="str">
        <f>"09771701001"</f>
        <v>09771701001</v>
      </c>
      <c r="AC29" t="s">
        <v>60</v>
      </c>
      <c r="AF29">
        <v>2022</v>
      </c>
      <c r="AG29">
        <v>4045</v>
      </c>
      <c r="AH29" t="str">
        <f t="shared" si="2"/>
        <v>1</v>
      </c>
      <c r="AI29" t="str">
        <f>"276"</f>
        <v>276</v>
      </c>
      <c r="AJ29" s="1">
        <v>44925</v>
      </c>
      <c r="AK29" t="s">
        <v>143</v>
      </c>
      <c r="AL29">
        <v>10.98</v>
      </c>
      <c r="AM29" t="str">
        <f>"8740578806"</f>
        <v>8740578806</v>
      </c>
      <c r="AN29">
        <v>2023</v>
      </c>
      <c r="AO29">
        <v>39</v>
      </c>
      <c r="AP29">
        <v>1.98</v>
      </c>
      <c r="AQ29">
        <v>0</v>
      </c>
      <c r="AR29">
        <v>0</v>
      </c>
      <c r="BA29">
        <v>1.98</v>
      </c>
      <c r="BB29" s="1">
        <v>44949</v>
      </c>
    </row>
    <row r="30" spans="1:54" x14ac:dyDescent="0.25">
      <c r="A30">
        <v>2023</v>
      </c>
      <c r="B30">
        <v>28</v>
      </c>
      <c r="C30" s="1">
        <v>44949</v>
      </c>
      <c r="D30">
        <v>2023</v>
      </c>
      <c r="E30">
        <v>2022</v>
      </c>
      <c r="F30">
        <v>196</v>
      </c>
      <c r="H30" t="s">
        <v>144</v>
      </c>
      <c r="I30">
        <v>130</v>
      </c>
      <c r="J30">
        <v>0</v>
      </c>
      <c r="K30" t="s">
        <v>128</v>
      </c>
      <c r="S30" t="str">
        <f>"31"</f>
        <v>31</v>
      </c>
      <c r="T30" t="s">
        <v>122</v>
      </c>
      <c r="W30" t="s">
        <v>145</v>
      </c>
      <c r="Y30">
        <v>2828</v>
      </c>
      <c r="Z30" t="s">
        <v>146</v>
      </c>
      <c r="AB30" t="str">
        <f>"04268260272"</f>
        <v>04268260272</v>
      </c>
      <c r="AC30" t="s">
        <v>60</v>
      </c>
      <c r="AF30">
        <v>2022</v>
      </c>
      <c r="AG30">
        <v>3391</v>
      </c>
      <c r="AH30" t="str">
        <f t="shared" si="2"/>
        <v>1</v>
      </c>
      <c r="AI30" t="str">
        <f>"273"</f>
        <v>273</v>
      </c>
      <c r="AJ30" s="1">
        <v>44923</v>
      </c>
      <c r="AK30" t="s">
        <v>147</v>
      </c>
      <c r="AL30">
        <v>38.75</v>
      </c>
      <c r="AM30" t="str">
        <f>"8345265852"</f>
        <v>8345265852</v>
      </c>
      <c r="AN30">
        <v>2023</v>
      </c>
      <c r="AO30">
        <v>40</v>
      </c>
      <c r="AP30">
        <v>3.52</v>
      </c>
      <c r="AQ30">
        <v>0</v>
      </c>
      <c r="AR30">
        <v>0</v>
      </c>
      <c r="BA30">
        <v>3.52</v>
      </c>
      <c r="BB30" s="1">
        <v>44949</v>
      </c>
    </row>
    <row r="31" spans="1:54" x14ac:dyDescent="0.25">
      <c r="A31">
        <v>2023</v>
      </c>
      <c r="B31">
        <v>29</v>
      </c>
      <c r="C31" s="1">
        <v>44949</v>
      </c>
      <c r="D31">
        <v>2023</v>
      </c>
      <c r="E31">
        <v>2022</v>
      </c>
      <c r="F31">
        <v>240</v>
      </c>
      <c r="H31" t="s">
        <v>148</v>
      </c>
      <c r="I31">
        <v>120</v>
      </c>
      <c r="J31">
        <v>0</v>
      </c>
      <c r="K31" t="s">
        <v>120</v>
      </c>
      <c r="S31" t="str">
        <f>"30"</f>
        <v>30</v>
      </c>
      <c r="T31" t="s">
        <v>78</v>
      </c>
      <c r="W31" t="s">
        <v>149</v>
      </c>
      <c r="Y31">
        <v>3366</v>
      </c>
      <c r="Z31" t="s">
        <v>150</v>
      </c>
      <c r="AB31" t="str">
        <f>"06979891006"</f>
        <v>06979891006</v>
      </c>
      <c r="AC31" t="s">
        <v>60</v>
      </c>
      <c r="AF31">
        <v>2022</v>
      </c>
      <c r="AG31">
        <v>4044</v>
      </c>
      <c r="AH31" t="str">
        <f t="shared" si="2"/>
        <v>1</v>
      </c>
      <c r="AI31" t="s">
        <v>151</v>
      </c>
      <c r="AJ31" s="1">
        <v>44913</v>
      </c>
      <c r="AK31" t="s">
        <v>152</v>
      </c>
      <c r="AL31">
        <v>300</v>
      </c>
      <c r="AM31" t="str">
        <f>"8734446828"</f>
        <v>8734446828</v>
      </c>
      <c r="AP31">
        <v>11.54</v>
      </c>
      <c r="AQ31">
        <v>0</v>
      </c>
      <c r="AR31">
        <v>0</v>
      </c>
      <c r="BA31">
        <v>11.54</v>
      </c>
      <c r="BB31" s="1">
        <v>44949</v>
      </c>
    </row>
    <row r="32" spans="1:54" x14ac:dyDescent="0.25">
      <c r="A32">
        <v>2023</v>
      </c>
      <c r="B32">
        <v>30</v>
      </c>
      <c r="C32" s="1">
        <v>44949</v>
      </c>
      <c r="D32">
        <v>2023</v>
      </c>
      <c r="E32">
        <v>2022</v>
      </c>
      <c r="F32">
        <v>745</v>
      </c>
      <c r="H32" t="s">
        <v>153</v>
      </c>
      <c r="I32">
        <v>470</v>
      </c>
      <c r="J32">
        <v>0</v>
      </c>
      <c r="K32" t="s">
        <v>154</v>
      </c>
      <c r="W32" t="s">
        <v>155</v>
      </c>
      <c r="Y32">
        <v>3235</v>
      </c>
      <c r="Z32" t="s">
        <v>156</v>
      </c>
      <c r="AB32" t="str">
        <f>"05779711000"</f>
        <v>05779711000</v>
      </c>
      <c r="AC32" t="s">
        <v>60</v>
      </c>
      <c r="AF32">
        <v>2022</v>
      </c>
      <c r="AG32">
        <v>3747</v>
      </c>
      <c r="AH32" t="str">
        <f t="shared" si="2"/>
        <v>1</v>
      </c>
      <c r="AI32" t="str">
        <f>"922002565260"</f>
        <v>922002565260</v>
      </c>
      <c r="AJ32" s="1">
        <v>44908</v>
      </c>
      <c r="AK32" t="s">
        <v>157</v>
      </c>
      <c r="AL32">
        <v>519.72</v>
      </c>
      <c r="AM32" t="str">
        <f>"8633704806"</f>
        <v>8633704806</v>
      </c>
      <c r="AP32">
        <v>93.72</v>
      </c>
      <c r="AQ32">
        <v>0</v>
      </c>
      <c r="AR32">
        <v>0</v>
      </c>
      <c r="BA32">
        <v>93.72</v>
      </c>
      <c r="BB32" s="1">
        <v>44949</v>
      </c>
    </row>
    <row r="33" spans="1:54" x14ac:dyDescent="0.25">
      <c r="A33">
        <v>2023</v>
      </c>
      <c r="B33">
        <v>31</v>
      </c>
      <c r="C33" s="1">
        <v>44949</v>
      </c>
      <c r="D33">
        <v>2023</v>
      </c>
      <c r="E33">
        <v>2022</v>
      </c>
      <c r="F33">
        <v>744</v>
      </c>
      <c r="H33" t="s">
        <v>158</v>
      </c>
      <c r="I33">
        <v>109</v>
      </c>
      <c r="J33">
        <v>0</v>
      </c>
      <c r="K33" t="s">
        <v>159</v>
      </c>
      <c r="S33" t="str">
        <f>"30"</f>
        <v>30</v>
      </c>
      <c r="T33" t="s">
        <v>78</v>
      </c>
      <c r="W33" t="s">
        <v>160</v>
      </c>
      <c r="Y33">
        <v>207</v>
      </c>
      <c r="Z33" t="s">
        <v>161</v>
      </c>
      <c r="AB33" t="str">
        <f>"90011100295"</f>
        <v>90011100295</v>
      </c>
      <c r="AC33" t="s">
        <v>116</v>
      </c>
      <c r="AD33" t="s">
        <v>162</v>
      </c>
      <c r="AF33">
        <v>2023</v>
      </c>
      <c r="AG33">
        <v>43</v>
      </c>
      <c r="AH33" t="str">
        <f>"7"</f>
        <v>7</v>
      </c>
      <c r="AI33" t="s">
        <v>163</v>
      </c>
      <c r="AJ33" s="1">
        <v>44937</v>
      </c>
      <c r="AK33" t="s">
        <v>160</v>
      </c>
      <c r="AL33" s="2">
        <v>1400</v>
      </c>
      <c r="AN33">
        <v>2023</v>
      </c>
      <c r="AO33">
        <v>34</v>
      </c>
      <c r="AP33" s="2">
        <v>1400</v>
      </c>
      <c r="AQ33">
        <v>0</v>
      </c>
      <c r="AR33">
        <v>0</v>
      </c>
      <c r="BA33">
        <v>1400</v>
      </c>
      <c r="BB33" s="1">
        <v>44949</v>
      </c>
    </row>
    <row r="34" spans="1:54" x14ac:dyDescent="0.25">
      <c r="A34">
        <v>2023</v>
      </c>
      <c r="B34">
        <v>32</v>
      </c>
      <c r="C34" s="1">
        <v>44949</v>
      </c>
      <c r="D34">
        <v>2023</v>
      </c>
      <c r="E34">
        <v>2023</v>
      </c>
      <c r="F34">
        <v>25</v>
      </c>
      <c r="H34" t="s">
        <v>164</v>
      </c>
      <c r="I34">
        <v>130</v>
      </c>
      <c r="J34">
        <v>0</v>
      </c>
      <c r="K34" t="s">
        <v>128</v>
      </c>
      <c r="S34" t="str">
        <f>"30"</f>
        <v>30</v>
      </c>
      <c r="T34" t="s">
        <v>78</v>
      </c>
      <c r="W34" t="s">
        <v>165</v>
      </c>
      <c r="Y34">
        <v>1363</v>
      </c>
      <c r="Z34" t="s">
        <v>166</v>
      </c>
      <c r="AB34" t="str">
        <f>"00997670583"</f>
        <v>00997670583</v>
      </c>
      <c r="AC34" t="s">
        <v>116</v>
      </c>
      <c r="AD34" t="s">
        <v>167</v>
      </c>
      <c r="AF34">
        <v>2023</v>
      </c>
      <c r="AG34">
        <v>39</v>
      </c>
      <c r="AH34" t="str">
        <f>"7"</f>
        <v>7</v>
      </c>
      <c r="AI34" t="s">
        <v>168</v>
      </c>
      <c r="AJ34" s="1">
        <v>44943</v>
      </c>
      <c r="AK34" t="s">
        <v>165</v>
      </c>
      <c r="AL34" s="2">
        <v>1374</v>
      </c>
      <c r="AN34">
        <v>2023</v>
      </c>
      <c r="AO34">
        <v>41</v>
      </c>
      <c r="AP34" s="2">
        <v>1374</v>
      </c>
      <c r="AQ34">
        <v>0</v>
      </c>
      <c r="AR34">
        <v>0</v>
      </c>
      <c r="BA34">
        <v>1374</v>
      </c>
      <c r="BB34" s="1">
        <v>44949</v>
      </c>
    </row>
    <row r="35" spans="1:54" x14ac:dyDescent="0.25">
      <c r="A35">
        <v>2023</v>
      </c>
      <c r="B35">
        <v>33</v>
      </c>
      <c r="C35" s="1">
        <v>44949</v>
      </c>
      <c r="D35">
        <v>2023</v>
      </c>
      <c r="E35">
        <v>2023</v>
      </c>
      <c r="F35">
        <v>25</v>
      </c>
      <c r="H35" t="s">
        <v>164</v>
      </c>
      <c r="I35">
        <v>130</v>
      </c>
      <c r="J35">
        <v>0</v>
      </c>
      <c r="K35" t="s">
        <v>128</v>
      </c>
      <c r="S35" t="str">
        <f>"30"</f>
        <v>30</v>
      </c>
      <c r="T35" t="s">
        <v>78</v>
      </c>
      <c r="W35" t="s">
        <v>169</v>
      </c>
      <c r="Y35">
        <v>1363</v>
      </c>
      <c r="Z35" t="s">
        <v>166</v>
      </c>
      <c r="AB35" t="str">
        <f>"00997670583"</f>
        <v>00997670583</v>
      </c>
      <c r="AC35" t="s">
        <v>116</v>
      </c>
      <c r="AD35" t="s">
        <v>167</v>
      </c>
      <c r="AF35">
        <v>2023</v>
      </c>
      <c r="AG35">
        <v>40</v>
      </c>
      <c r="AH35" t="str">
        <f>"7"</f>
        <v>7</v>
      </c>
      <c r="AI35" t="s">
        <v>168</v>
      </c>
      <c r="AJ35" s="1">
        <v>44943</v>
      </c>
      <c r="AK35" t="s">
        <v>169</v>
      </c>
      <c r="AL35" s="2">
        <v>6351</v>
      </c>
      <c r="AN35">
        <v>2023</v>
      </c>
      <c r="AO35">
        <v>41</v>
      </c>
      <c r="AP35" s="2">
        <v>6351</v>
      </c>
      <c r="AQ35">
        <v>0</v>
      </c>
      <c r="AR35">
        <v>0</v>
      </c>
      <c r="BA35">
        <v>6351</v>
      </c>
      <c r="BB35" s="1">
        <v>44949</v>
      </c>
    </row>
    <row r="36" spans="1:54" x14ac:dyDescent="0.25">
      <c r="A36">
        <v>2023</v>
      </c>
      <c r="B36">
        <v>34</v>
      </c>
      <c r="C36" s="1">
        <v>44949</v>
      </c>
      <c r="D36">
        <v>2023</v>
      </c>
      <c r="E36">
        <v>2022</v>
      </c>
      <c r="F36">
        <v>553</v>
      </c>
      <c r="H36" t="s">
        <v>170</v>
      </c>
      <c r="I36">
        <v>120</v>
      </c>
      <c r="J36">
        <v>0</v>
      </c>
      <c r="K36" t="s">
        <v>120</v>
      </c>
      <c r="R36" t="s">
        <v>171</v>
      </c>
      <c r="S36" t="str">
        <f t="shared" ref="S36:S62" si="3">"31"</f>
        <v>31</v>
      </c>
      <c r="T36" t="s">
        <v>122</v>
      </c>
      <c r="W36" t="s">
        <v>172</v>
      </c>
      <c r="Y36">
        <v>4538</v>
      </c>
      <c r="Z36" t="s">
        <v>173</v>
      </c>
      <c r="AB36" t="str">
        <f>"01561250166"</f>
        <v>01561250166</v>
      </c>
      <c r="AC36" t="s">
        <v>116</v>
      </c>
      <c r="AD36" t="s">
        <v>174</v>
      </c>
      <c r="AF36">
        <v>2023</v>
      </c>
      <c r="AG36">
        <v>42</v>
      </c>
      <c r="AH36" t="str">
        <f t="shared" ref="AH36:AH67" si="4">"1"</f>
        <v>1</v>
      </c>
      <c r="AI36" t="s">
        <v>175</v>
      </c>
      <c r="AJ36" s="1">
        <v>44944</v>
      </c>
      <c r="AK36" t="s">
        <v>176</v>
      </c>
      <c r="AL36" s="2">
        <v>2283.23</v>
      </c>
      <c r="AM36" t="str">
        <f>"8875848829"</f>
        <v>8875848829</v>
      </c>
      <c r="AN36">
        <v>2023</v>
      </c>
      <c r="AO36">
        <v>32</v>
      </c>
      <c r="AP36" s="2">
        <v>2116.6999999999998</v>
      </c>
      <c r="AQ36">
        <v>0</v>
      </c>
      <c r="AR36">
        <v>411.73</v>
      </c>
      <c r="AS36" t="s">
        <v>177</v>
      </c>
      <c r="AT36">
        <v>1871.5</v>
      </c>
      <c r="AU36">
        <v>411.73</v>
      </c>
      <c r="AV36">
        <v>2023</v>
      </c>
      <c r="AW36">
        <v>11</v>
      </c>
      <c r="AX36">
        <v>670</v>
      </c>
      <c r="AY36">
        <v>0</v>
      </c>
      <c r="AZ36" t="s">
        <v>178</v>
      </c>
      <c r="BA36">
        <v>2116.6999999999998</v>
      </c>
      <c r="BB36" s="1">
        <v>44949</v>
      </c>
    </row>
    <row r="37" spans="1:54" x14ac:dyDescent="0.25">
      <c r="A37">
        <v>2023</v>
      </c>
      <c r="B37">
        <v>35</v>
      </c>
      <c r="C37" s="1">
        <v>44949</v>
      </c>
      <c r="D37">
        <v>2023</v>
      </c>
      <c r="E37">
        <v>2022</v>
      </c>
      <c r="F37">
        <v>701</v>
      </c>
      <c r="H37" t="s">
        <v>179</v>
      </c>
      <c r="I37">
        <v>120</v>
      </c>
      <c r="J37">
        <v>0</v>
      </c>
      <c r="K37" t="s">
        <v>120</v>
      </c>
      <c r="R37" t="s">
        <v>180</v>
      </c>
      <c r="S37" t="str">
        <f t="shared" si="3"/>
        <v>31</v>
      </c>
      <c r="T37" t="s">
        <v>122</v>
      </c>
      <c r="W37" t="s">
        <v>181</v>
      </c>
      <c r="Y37">
        <v>4538</v>
      </c>
      <c r="Z37" t="s">
        <v>173</v>
      </c>
      <c r="AB37" t="str">
        <f>"01561250166"</f>
        <v>01561250166</v>
      </c>
      <c r="AC37" t="s">
        <v>116</v>
      </c>
      <c r="AD37" t="s">
        <v>174</v>
      </c>
      <c r="AF37">
        <v>2023</v>
      </c>
      <c r="AG37">
        <v>42</v>
      </c>
      <c r="AH37" t="str">
        <f t="shared" si="4"/>
        <v>1</v>
      </c>
      <c r="AI37" t="s">
        <v>175</v>
      </c>
      <c r="AJ37" s="1">
        <v>44944</v>
      </c>
      <c r="AK37" t="s">
        <v>176</v>
      </c>
      <c r="AL37" s="2">
        <v>2283.23</v>
      </c>
      <c r="AM37" t="str">
        <f>"8875848829"</f>
        <v>8875848829</v>
      </c>
      <c r="AN37">
        <v>2023</v>
      </c>
      <c r="AO37">
        <v>33</v>
      </c>
      <c r="AP37">
        <v>166.53</v>
      </c>
      <c r="AQ37">
        <v>0</v>
      </c>
      <c r="AR37">
        <v>0</v>
      </c>
      <c r="BA37">
        <v>166.53</v>
      </c>
      <c r="BB37" s="1">
        <v>44949</v>
      </c>
    </row>
    <row r="38" spans="1:54" x14ac:dyDescent="0.25">
      <c r="A38">
        <v>2023</v>
      </c>
      <c r="B38">
        <v>36</v>
      </c>
      <c r="C38" s="1">
        <v>44949</v>
      </c>
      <c r="D38">
        <v>2023</v>
      </c>
      <c r="E38">
        <v>2022</v>
      </c>
      <c r="F38">
        <v>516</v>
      </c>
      <c r="H38" t="s">
        <v>182</v>
      </c>
      <c r="I38">
        <v>120</v>
      </c>
      <c r="J38">
        <v>0</v>
      </c>
      <c r="K38" t="s">
        <v>120</v>
      </c>
      <c r="R38" t="s">
        <v>183</v>
      </c>
      <c r="S38" t="str">
        <f t="shared" si="3"/>
        <v>31</v>
      </c>
      <c r="T38" t="s">
        <v>122</v>
      </c>
      <c r="W38" t="s">
        <v>184</v>
      </c>
      <c r="Y38">
        <v>4532</v>
      </c>
      <c r="Z38" t="s">
        <v>185</v>
      </c>
      <c r="AB38" t="str">
        <f>"01832790354"</f>
        <v>01832790354</v>
      </c>
      <c r="AC38" t="s">
        <v>116</v>
      </c>
      <c r="AD38" t="s">
        <v>186</v>
      </c>
      <c r="AF38">
        <v>2022</v>
      </c>
      <c r="AG38">
        <v>3620</v>
      </c>
      <c r="AH38" t="str">
        <f t="shared" si="4"/>
        <v>1</v>
      </c>
      <c r="AI38" t="s">
        <v>187</v>
      </c>
      <c r="AJ38" s="1">
        <v>44876</v>
      </c>
      <c r="AK38" t="s">
        <v>184</v>
      </c>
      <c r="AL38" s="2">
        <v>3294</v>
      </c>
      <c r="AM38" t="str">
        <f>"8463099888"</f>
        <v>8463099888</v>
      </c>
      <c r="AN38">
        <v>2023</v>
      </c>
      <c r="AO38">
        <v>36</v>
      </c>
      <c r="AP38" s="2">
        <v>3294</v>
      </c>
      <c r="AQ38">
        <v>0</v>
      </c>
      <c r="AR38">
        <v>594</v>
      </c>
      <c r="AS38" t="s">
        <v>177</v>
      </c>
      <c r="AT38">
        <v>2700</v>
      </c>
      <c r="AU38">
        <v>594</v>
      </c>
      <c r="AV38">
        <v>2023</v>
      </c>
      <c r="AW38">
        <v>12</v>
      </c>
      <c r="AX38">
        <v>670</v>
      </c>
      <c r="AY38">
        <v>0</v>
      </c>
      <c r="AZ38" t="s">
        <v>188</v>
      </c>
      <c r="BA38">
        <v>3294</v>
      </c>
      <c r="BB38" s="1">
        <v>44949</v>
      </c>
    </row>
    <row r="39" spans="1:54" x14ac:dyDescent="0.25">
      <c r="A39">
        <v>2023</v>
      </c>
      <c r="B39">
        <v>37</v>
      </c>
      <c r="C39" s="1">
        <v>44949</v>
      </c>
      <c r="D39">
        <v>2023</v>
      </c>
      <c r="E39">
        <v>2022</v>
      </c>
      <c r="F39">
        <v>146</v>
      </c>
      <c r="H39" t="s">
        <v>189</v>
      </c>
      <c r="I39">
        <v>130</v>
      </c>
      <c r="J39">
        <v>0</v>
      </c>
      <c r="K39" t="s">
        <v>128</v>
      </c>
      <c r="R39" t="s">
        <v>190</v>
      </c>
      <c r="S39" t="str">
        <f t="shared" si="3"/>
        <v>31</v>
      </c>
      <c r="T39" t="s">
        <v>122</v>
      </c>
      <c r="W39" t="s">
        <v>191</v>
      </c>
      <c r="Y39">
        <v>3344</v>
      </c>
      <c r="Z39" t="s">
        <v>192</v>
      </c>
      <c r="AB39" t="str">
        <f t="shared" ref="AB39:AB70" si="5">"02616630022"</f>
        <v>02616630022</v>
      </c>
      <c r="AC39" t="s">
        <v>116</v>
      </c>
      <c r="AD39" t="s">
        <v>193</v>
      </c>
      <c r="AF39">
        <v>2022</v>
      </c>
      <c r="AG39">
        <v>3853</v>
      </c>
      <c r="AH39" t="str">
        <f t="shared" si="4"/>
        <v>1</v>
      </c>
      <c r="AI39" t="str">
        <f>"5220234990"</f>
        <v>5220234990</v>
      </c>
      <c r="AJ39" s="1">
        <v>44914</v>
      </c>
      <c r="AL39">
        <v>301.52999999999997</v>
      </c>
      <c r="AM39" t="str">
        <f>"8669971117"</f>
        <v>8669971117</v>
      </c>
      <c r="AN39">
        <v>2023</v>
      </c>
      <c r="AO39">
        <v>16</v>
      </c>
      <c r="AP39">
        <v>301.52999999999997</v>
      </c>
      <c r="AQ39">
        <v>0</v>
      </c>
      <c r="AR39">
        <v>80.2</v>
      </c>
      <c r="AS39" t="s">
        <v>194</v>
      </c>
      <c r="AT39">
        <v>273.16000000000003</v>
      </c>
      <c r="AU39">
        <v>27.32</v>
      </c>
      <c r="AV39">
        <v>2023</v>
      </c>
      <c r="AW39">
        <v>13</v>
      </c>
      <c r="AX39">
        <v>670</v>
      </c>
      <c r="AY39">
        <v>0</v>
      </c>
      <c r="AZ39" t="s">
        <v>195</v>
      </c>
      <c r="BA39">
        <v>301.52999999999997</v>
      </c>
      <c r="BB39" s="1">
        <v>44949</v>
      </c>
    </row>
    <row r="40" spans="1:54" x14ac:dyDescent="0.25">
      <c r="A40">
        <v>2023</v>
      </c>
      <c r="B40">
        <v>37</v>
      </c>
      <c r="C40" s="1">
        <v>44949</v>
      </c>
      <c r="D40">
        <v>2023</v>
      </c>
      <c r="E40">
        <v>2022</v>
      </c>
      <c r="F40">
        <v>146</v>
      </c>
      <c r="H40" t="s">
        <v>189</v>
      </c>
      <c r="I40">
        <v>130</v>
      </c>
      <c r="J40">
        <v>0</v>
      </c>
      <c r="K40" t="s">
        <v>128</v>
      </c>
      <c r="R40" t="s">
        <v>190</v>
      </c>
      <c r="S40" t="str">
        <f t="shared" si="3"/>
        <v>31</v>
      </c>
      <c r="T40" t="s">
        <v>122</v>
      </c>
      <c r="W40" t="s">
        <v>191</v>
      </c>
      <c r="Y40">
        <v>3344</v>
      </c>
      <c r="Z40" t="s">
        <v>192</v>
      </c>
      <c r="AB40" t="str">
        <f t="shared" si="5"/>
        <v>02616630022</v>
      </c>
      <c r="AC40" t="s">
        <v>116</v>
      </c>
      <c r="AD40" t="s">
        <v>193</v>
      </c>
      <c r="AF40">
        <v>2022</v>
      </c>
      <c r="AG40">
        <v>3855</v>
      </c>
      <c r="AH40" t="str">
        <f t="shared" si="4"/>
        <v>1</v>
      </c>
      <c r="AI40" t="str">
        <f>"5220234982"</f>
        <v>5220234982</v>
      </c>
      <c r="AJ40" s="1">
        <v>44914</v>
      </c>
      <c r="AL40">
        <v>18.100000000000001</v>
      </c>
      <c r="AM40" t="str">
        <f>"8669968701"</f>
        <v>8669968701</v>
      </c>
      <c r="AN40">
        <v>2023</v>
      </c>
      <c r="AO40">
        <v>16</v>
      </c>
      <c r="AP40">
        <v>18.100000000000001</v>
      </c>
      <c r="AQ40">
        <v>0</v>
      </c>
      <c r="AR40">
        <v>80.2</v>
      </c>
      <c r="AS40" t="s">
        <v>194</v>
      </c>
      <c r="AT40">
        <v>2.21</v>
      </c>
      <c r="AU40">
        <v>0.22</v>
      </c>
      <c r="AV40">
        <v>2023</v>
      </c>
      <c r="AW40">
        <v>13</v>
      </c>
      <c r="AX40">
        <v>670</v>
      </c>
      <c r="AY40">
        <v>0</v>
      </c>
      <c r="AZ40" t="s">
        <v>195</v>
      </c>
      <c r="BA40">
        <v>18.100000000000001</v>
      </c>
      <c r="BB40" s="1">
        <v>44949</v>
      </c>
    </row>
    <row r="41" spans="1:54" x14ac:dyDescent="0.25">
      <c r="A41">
        <v>2023</v>
      </c>
      <c r="B41">
        <v>37</v>
      </c>
      <c r="C41" s="1">
        <v>44949</v>
      </c>
      <c r="D41">
        <v>2023</v>
      </c>
      <c r="E41">
        <v>2022</v>
      </c>
      <c r="F41">
        <v>146</v>
      </c>
      <c r="H41" t="s">
        <v>189</v>
      </c>
      <c r="I41">
        <v>130</v>
      </c>
      <c r="J41">
        <v>0</v>
      </c>
      <c r="K41" t="s">
        <v>128</v>
      </c>
      <c r="R41" t="s">
        <v>190</v>
      </c>
      <c r="S41" t="str">
        <f t="shared" si="3"/>
        <v>31</v>
      </c>
      <c r="T41" t="s">
        <v>122</v>
      </c>
      <c r="W41" t="s">
        <v>191</v>
      </c>
      <c r="Y41">
        <v>3344</v>
      </c>
      <c r="Z41" t="s">
        <v>192</v>
      </c>
      <c r="AB41" t="str">
        <f t="shared" si="5"/>
        <v>02616630022</v>
      </c>
      <c r="AC41" t="s">
        <v>116</v>
      </c>
      <c r="AD41" t="s">
        <v>193</v>
      </c>
      <c r="AF41">
        <v>2022</v>
      </c>
      <c r="AG41">
        <v>3860</v>
      </c>
      <c r="AH41" t="str">
        <f t="shared" si="4"/>
        <v>1</v>
      </c>
      <c r="AI41" t="str">
        <f>"5220234957"</f>
        <v>5220234957</v>
      </c>
      <c r="AJ41" s="1">
        <v>44914</v>
      </c>
      <c r="AL41">
        <v>6.86</v>
      </c>
      <c r="AM41" t="str">
        <f>"8670005628"</f>
        <v>8670005628</v>
      </c>
      <c r="AN41">
        <v>2023</v>
      </c>
      <c r="AO41">
        <v>16</v>
      </c>
      <c r="AP41">
        <v>6.86</v>
      </c>
      <c r="AQ41">
        <v>0</v>
      </c>
      <c r="AR41">
        <v>80.2</v>
      </c>
      <c r="AS41" t="s">
        <v>194</v>
      </c>
      <c r="AT41">
        <v>0.63</v>
      </c>
      <c r="AU41">
        <v>0.06</v>
      </c>
      <c r="AV41">
        <v>2023</v>
      </c>
      <c r="AW41">
        <v>13</v>
      </c>
      <c r="AX41">
        <v>670</v>
      </c>
      <c r="AY41">
        <v>0</v>
      </c>
      <c r="AZ41" t="s">
        <v>195</v>
      </c>
      <c r="BA41">
        <v>6.86</v>
      </c>
      <c r="BB41" s="1">
        <v>44949</v>
      </c>
    </row>
    <row r="42" spans="1:54" x14ac:dyDescent="0.25">
      <c r="A42">
        <v>2023</v>
      </c>
      <c r="B42">
        <v>37</v>
      </c>
      <c r="C42" s="1">
        <v>44949</v>
      </c>
      <c r="D42">
        <v>2023</v>
      </c>
      <c r="E42">
        <v>2022</v>
      </c>
      <c r="F42">
        <v>146</v>
      </c>
      <c r="H42" t="s">
        <v>189</v>
      </c>
      <c r="I42">
        <v>130</v>
      </c>
      <c r="J42">
        <v>0</v>
      </c>
      <c r="K42" t="s">
        <v>128</v>
      </c>
      <c r="R42" t="s">
        <v>190</v>
      </c>
      <c r="S42" t="str">
        <f t="shared" si="3"/>
        <v>31</v>
      </c>
      <c r="T42" t="s">
        <v>122</v>
      </c>
      <c r="W42" t="s">
        <v>191</v>
      </c>
      <c r="Y42">
        <v>3344</v>
      </c>
      <c r="Z42" t="s">
        <v>192</v>
      </c>
      <c r="AB42" t="str">
        <f t="shared" si="5"/>
        <v>02616630022</v>
      </c>
      <c r="AC42" t="s">
        <v>116</v>
      </c>
      <c r="AD42" t="s">
        <v>193</v>
      </c>
      <c r="AF42">
        <v>2022</v>
      </c>
      <c r="AG42">
        <v>3866</v>
      </c>
      <c r="AH42" t="str">
        <f t="shared" si="4"/>
        <v>1</v>
      </c>
      <c r="AI42" t="str">
        <f>"5220234974"</f>
        <v>5220234974</v>
      </c>
      <c r="AJ42" s="1">
        <v>44914</v>
      </c>
      <c r="AL42">
        <v>2.1800000000000002</v>
      </c>
      <c r="AM42" t="str">
        <f>"8669982211"</f>
        <v>8669982211</v>
      </c>
      <c r="AN42">
        <v>2023</v>
      </c>
      <c r="AO42">
        <v>16</v>
      </c>
      <c r="AP42">
        <v>2.1800000000000002</v>
      </c>
      <c r="AQ42">
        <v>0</v>
      </c>
      <c r="AR42">
        <v>80.2</v>
      </c>
      <c r="AS42" t="s">
        <v>194</v>
      </c>
      <c r="AT42">
        <v>1.98</v>
      </c>
      <c r="AU42">
        <v>0.2</v>
      </c>
      <c r="AV42">
        <v>2023</v>
      </c>
      <c r="AW42">
        <v>13</v>
      </c>
      <c r="AX42">
        <v>670</v>
      </c>
      <c r="AY42">
        <v>0</v>
      </c>
      <c r="AZ42" t="s">
        <v>195</v>
      </c>
      <c r="BA42">
        <v>2.1800000000000002</v>
      </c>
      <c r="BB42" s="1">
        <v>44949</v>
      </c>
    </row>
    <row r="43" spans="1:54" x14ac:dyDescent="0.25">
      <c r="A43">
        <v>2023</v>
      </c>
      <c r="B43">
        <v>37</v>
      </c>
      <c r="C43" s="1">
        <v>44949</v>
      </c>
      <c r="D43">
        <v>2023</v>
      </c>
      <c r="E43">
        <v>2022</v>
      </c>
      <c r="F43">
        <v>146</v>
      </c>
      <c r="H43" t="s">
        <v>189</v>
      </c>
      <c r="I43">
        <v>130</v>
      </c>
      <c r="J43">
        <v>0</v>
      </c>
      <c r="K43" t="s">
        <v>128</v>
      </c>
      <c r="R43" t="s">
        <v>190</v>
      </c>
      <c r="S43" t="str">
        <f t="shared" si="3"/>
        <v>31</v>
      </c>
      <c r="T43" t="s">
        <v>122</v>
      </c>
      <c r="W43" t="s">
        <v>191</v>
      </c>
      <c r="Y43">
        <v>3344</v>
      </c>
      <c r="Z43" t="s">
        <v>192</v>
      </c>
      <c r="AB43" t="str">
        <f t="shared" si="5"/>
        <v>02616630022</v>
      </c>
      <c r="AC43" t="s">
        <v>116</v>
      </c>
      <c r="AD43" t="s">
        <v>193</v>
      </c>
      <c r="AF43">
        <v>2022</v>
      </c>
      <c r="AG43">
        <v>3888</v>
      </c>
      <c r="AH43" t="str">
        <f t="shared" si="4"/>
        <v>1</v>
      </c>
      <c r="AI43" t="str">
        <f>"5220234944"</f>
        <v>5220234944</v>
      </c>
      <c r="AJ43" s="1">
        <v>44914</v>
      </c>
      <c r="AL43">
        <v>3.9</v>
      </c>
      <c r="AM43" t="str">
        <f>"8669976835"</f>
        <v>8669976835</v>
      </c>
      <c r="AN43">
        <v>2023</v>
      </c>
      <c r="AO43">
        <v>16</v>
      </c>
      <c r="AP43">
        <v>3.9</v>
      </c>
      <c r="AQ43">
        <v>0</v>
      </c>
      <c r="AR43">
        <v>80.2</v>
      </c>
      <c r="AS43" t="s">
        <v>194</v>
      </c>
      <c r="AT43">
        <v>1.98</v>
      </c>
      <c r="AU43">
        <v>0.2</v>
      </c>
      <c r="AV43">
        <v>2023</v>
      </c>
      <c r="AW43">
        <v>13</v>
      </c>
      <c r="AX43">
        <v>670</v>
      </c>
      <c r="AY43">
        <v>0</v>
      </c>
      <c r="AZ43" t="s">
        <v>195</v>
      </c>
      <c r="BA43">
        <v>3.9</v>
      </c>
      <c r="BB43" s="1">
        <v>44949</v>
      </c>
    </row>
    <row r="44" spans="1:54" x14ac:dyDescent="0.25">
      <c r="A44">
        <v>2023</v>
      </c>
      <c r="B44">
        <v>37</v>
      </c>
      <c r="C44" s="1">
        <v>44949</v>
      </c>
      <c r="D44">
        <v>2023</v>
      </c>
      <c r="E44">
        <v>2022</v>
      </c>
      <c r="F44">
        <v>146</v>
      </c>
      <c r="H44" t="s">
        <v>189</v>
      </c>
      <c r="I44">
        <v>130</v>
      </c>
      <c r="J44">
        <v>0</v>
      </c>
      <c r="K44" t="s">
        <v>128</v>
      </c>
      <c r="R44" t="s">
        <v>190</v>
      </c>
      <c r="S44" t="str">
        <f t="shared" si="3"/>
        <v>31</v>
      </c>
      <c r="T44" t="s">
        <v>122</v>
      </c>
      <c r="W44" t="s">
        <v>191</v>
      </c>
      <c r="Y44">
        <v>3344</v>
      </c>
      <c r="Z44" t="s">
        <v>192</v>
      </c>
      <c r="AB44" t="str">
        <f t="shared" si="5"/>
        <v>02616630022</v>
      </c>
      <c r="AC44" t="s">
        <v>116</v>
      </c>
      <c r="AD44" t="s">
        <v>193</v>
      </c>
      <c r="AF44">
        <v>2022</v>
      </c>
      <c r="AG44">
        <v>3893</v>
      </c>
      <c r="AH44" t="str">
        <f t="shared" si="4"/>
        <v>1</v>
      </c>
      <c r="AI44" t="str">
        <f>"5220234945"</f>
        <v>5220234945</v>
      </c>
      <c r="AJ44" s="1">
        <v>44914</v>
      </c>
      <c r="AL44">
        <v>5.41</v>
      </c>
      <c r="AM44" t="str">
        <f>"8670003138"</f>
        <v>8670003138</v>
      </c>
      <c r="AN44">
        <v>2023</v>
      </c>
      <c r="AO44">
        <v>16</v>
      </c>
      <c r="AP44">
        <v>5.41</v>
      </c>
      <c r="AQ44">
        <v>0</v>
      </c>
      <c r="AR44">
        <v>80.2</v>
      </c>
      <c r="AS44" t="s">
        <v>196</v>
      </c>
      <c r="AT44">
        <v>3.36</v>
      </c>
      <c r="AU44">
        <v>0.34</v>
      </c>
      <c r="AV44">
        <v>2023</v>
      </c>
      <c r="AW44">
        <v>13</v>
      </c>
      <c r="AX44">
        <v>670</v>
      </c>
      <c r="AY44">
        <v>0</v>
      </c>
      <c r="AZ44" t="s">
        <v>195</v>
      </c>
      <c r="BA44">
        <v>5.41</v>
      </c>
      <c r="BB44" s="1">
        <v>44949</v>
      </c>
    </row>
    <row r="45" spans="1:54" x14ac:dyDescent="0.25">
      <c r="A45">
        <v>2023</v>
      </c>
      <c r="B45">
        <v>37</v>
      </c>
      <c r="C45" s="1">
        <v>44949</v>
      </c>
      <c r="D45">
        <v>2023</v>
      </c>
      <c r="E45">
        <v>2022</v>
      </c>
      <c r="F45">
        <v>146</v>
      </c>
      <c r="H45" t="s">
        <v>189</v>
      </c>
      <c r="I45">
        <v>130</v>
      </c>
      <c r="J45">
        <v>0</v>
      </c>
      <c r="K45" t="s">
        <v>128</v>
      </c>
      <c r="R45" t="s">
        <v>190</v>
      </c>
      <c r="S45" t="str">
        <f t="shared" si="3"/>
        <v>31</v>
      </c>
      <c r="T45" t="s">
        <v>122</v>
      </c>
      <c r="W45" t="s">
        <v>191</v>
      </c>
      <c r="Y45">
        <v>3344</v>
      </c>
      <c r="Z45" t="s">
        <v>192</v>
      </c>
      <c r="AB45" t="str">
        <f t="shared" si="5"/>
        <v>02616630022</v>
      </c>
      <c r="AC45" t="s">
        <v>116</v>
      </c>
      <c r="AD45" t="s">
        <v>193</v>
      </c>
      <c r="AF45">
        <v>2022</v>
      </c>
      <c r="AG45">
        <v>3894</v>
      </c>
      <c r="AH45" t="str">
        <f t="shared" si="4"/>
        <v>1</v>
      </c>
      <c r="AI45" t="str">
        <f>"5220234953"</f>
        <v>5220234953</v>
      </c>
      <c r="AJ45" s="1">
        <v>44914</v>
      </c>
      <c r="AL45">
        <v>9.7799999999999994</v>
      </c>
      <c r="AM45" t="str">
        <f>"8670079838"</f>
        <v>8670079838</v>
      </c>
      <c r="AN45">
        <v>2023</v>
      </c>
      <c r="AO45">
        <v>16</v>
      </c>
      <c r="AP45">
        <v>9.7799999999999994</v>
      </c>
      <c r="AQ45">
        <v>0</v>
      </c>
      <c r="AR45">
        <v>80.2</v>
      </c>
      <c r="AS45" t="s">
        <v>194</v>
      </c>
      <c r="AT45">
        <v>8.8699999999999992</v>
      </c>
      <c r="AU45">
        <v>0.89</v>
      </c>
      <c r="AV45">
        <v>2023</v>
      </c>
      <c r="AW45">
        <v>13</v>
      </c>
      <c r="AX45">
        <v>670</v>
      </c>
      <c r="AY45">
        <v>0</v>
      </c>
      <c r="AZ45" t="s">
        <v>195</v>
      </c>
      <c r="BA45">
        <v>9.7799999999999994</v>
      </c>
      <c r="BB45" s="1">
        <v>44949</v>
      </c>
    </row>
    <row r="46" spans="1:54" x14ac:dyDescent="0.25">
      <c r="A46">
        <v>2023</v>
      </c>
      <c r="B46">
        <v>37</v>
      </c>
      <c r="C46" s="1">
        <v>44949</v>
      </c>
      <c r="D46">
        <v>2023</v>
      </c>
      <c r="E46">
        <v>2022</v>
      </c>
      <c r="F46">
        <v>146</v>
      </c>
      <c r="H46" t="s">
        <v>189</v>
      </c>
      <c r="I46">
        <v>130</v>
      </c>
      <c r="J46">
        <v>0</v>
      </c>
      <c r="K46" t="s">
        <v>128</v>
      </c>
      <c r="R46" t="s">
        <v>190</v>
      </c>
      <c r="S46" t="str">
        <f t="shared" si="3"/>
        <v>31</v>
      </c>
      <c r="T46" t="s">
        <v>122</v>
      </c>
      <c r="W46" t="s">
        <v>191</v>
      </c>
      <c r="Y46">
        <v>3344</v>
      </c>
      <c r="Z46" t="s">
        <v>192</v>
      </c>
      <c r="AB46" t="str">
        <f t="shared" si="5"/>
        <v>02616630022</v>
      </c>
      <c r="AC46" t="s">
        <v>116</v>
      </c>
      <c r="AD46" t="s">
        <v>193</v>
      </c>
      <c r="AF46">
        <v>2022</v>
      </c>
      <c r="AG46">
        <v>3895</v>
      </c>
      <c r="AH46" t="str">
        <f t="shared" si="4"/>
        <v>1</v>
      </c>
      <c r="AI46" t="str">
        <f>"5220234958"</f>
        <v>5220234958</v>
      </c>
      <c r="AJ46" s="1">
        <v>44914</v>
      </c>
      <c r="AL46">
        <v>10.53</v>
      </c>
      <c r="AM46" t="str">
        <f>"8669967639"</f>
        <v>8669967639</v>
      </c>
      <c r="AN46">
        <v>2023</v>
      </c>
      <c r="AO46">
        <v>16</v>
      </c>
      <c r="AP46">
        <v>10.53</v>
      </c>
      <c r="AQ46">
        <v>0</v>
      </c>
      <c r="AR46">
        <v>80.2</v>
      </c>
      <c r="AS46" t="s">
        <v>194</v>
      </c>
      <c r="AT46">
        <v>1.65</v>
      </c>
      <c r="AU46">
        <v>0.17</v>
      </c>
      <c r="AV46">
        <v>2023</v>
      </c>
      <c r="AW46">
        <v>13</v>
      </c>
      <c r="AX46">
        <v>670</v>
      </c>
      <c r="AY46">
        <v>0</v>
      </c>
      <c r="AZ46" t="s">
        <v>195</v>
      </c>
      <c r="BA46">
        <v>10.53</v>
      </c>
      <c r="BB46" s="1">
        <v>44949</v>
      </c>
    </row>
    <row r="47" spans="1:54" x14ac:dyDescent="0.25">
      <c r="A47">
        <v>2023</v>
      </c>
      <c r="B47">
        <v>37</v>
      </c>
      <c r="C47" s="1">
        <v>44949</v>
      </c>
      <c r="D47">
        <v>2023</v>
      </c>
      <c r="E47">
        <v>2022</v>
      </c>
      <c r="F47">
        <v>146</v>
      </c>
      <c r="H47" t="s">
        <v>189</v>
      </c>
      <c r="I47">
        <v>130</v>
      </c>
      <c r="J47">
        <v>0</v>
      </c>
      <c r="K47" t="s">
        <v>128</v>
      </c>
      <c r="R47" t="s">
        <v>190</v>
      </c>
      <c r="S47" t="str">
        <f t="shared" si="3"/>
        <v>31</v>
      </c>
      <c r="T47" t="s">
        <v>122</v>
      </c>
      <c r="W47" t="s">
        <v>191</v>
      </c>
      <c r="Y47">
        <v>3344</v>
      </c>
      <c r="Z47" t="s">
        <v>192</v>
      </c>
      <c r="AB47" t="str">
        <f t="shared" si="5"/>
        <v>02616630022</v>
      </c>
      <c r="AC47" t="s">
        <v>116</v>
      </c>
      <c r="AD47" t="s">
        <v>193</v>
      </c>
      <c r="AF47">
        <v>2022</v>
      </c>
      <c r="AG47">
        <v>3896</v>
      </c>
      <c r="AH47" t="str">
        <f t="shared" si="4"/>
        <v>1</v>
      </c>
      <c r="AI47" t="str">
        <f>"5220234978"</f>
        <v>5220234978</v>
      </c>
      <c r="AJ47" s="1">
        <v>44914</v>
      </c>
      <c r="AL47">
        <v>302.38</v>
      </c>
      <c r="AM47" t="str">
        <f>"8670032740"</f>
        <v>8670032740</v>
      </c>
      <c r="AN47">
        <v>2023</v>
      </c>
      <c r="AO47">
        <v>16</v>
      </c>
      <c r="AP47">
        <v>302.38</v>
      </c>
      <c r="AQ47">
        <v>0</v>
      </c>
      <c r="AR47">
        <v>80.2</v>
      </c>
      <c r="AS47" t="s">
        <v>194</v>
      </c>
      <c r="AT47">
        <v>274.2</v>
      </c>
      <c r="AU47">
        <v>27.42</v>
      </c>
      <c r="AV47">
        <v>2023</v>
      </c>
      <c r="AW47">
        <v>13</v>
      </c>
      <c r="AX47">
        <v>670</v>
      </c>
      <c r="AY47">
        <v>0</v>
      </c>
      <c r="AZ47" t="s">
        <v>195</v>
      </c>
      <c r="BA47">
        <v>302.38</v>
      </c>
      <c r="BB47" s="1">
        <v>44949</v>
      </c>
    </row>
    <row r="48" spans="1:54" x14ac:dyDescent="0.25">
      <c r="A48">
        <v>2023</v>
      </c>
      <c r="B48">
        <v>37</v>
      </c>
      <c r="C48" s="1">
        <v>44949</v>
      </c>
      <c r="D48">
        <v>2023</v>
      </c>
      <c r="E48">
        <v>2022</v>
      </c>
      <c r="F48">
        <v>146</v>
      </c>
      <c r="H48" t="s">
        <v>189</v>
      </c>
      <c r="I48">
        <v>130</v>
      </c>
      <c r="J48">
        <v>0</v>
      </c>
      <c r="K48" t="s">
        <v>128</v>
      </c>
      <c r="R48" t="s">
        <v>190</v>
      </c>
      <c r="S48" t="str">
        <f t="shared" si="3"/>
        <v>31</v>
      </c>
      <c r="T48" t="s">
        <v>122</v>
      </c>
      <c r="W48" t="s">
        <v>191</v>
      </c>
      <c r="Y48">
        <v>3344</v>
      </c>
      <c r="Z48" t="s">
        <v>192</v>
      </c>
      <c r="AB48" t="str">
        <f t="shared" si="5"/>
        <v>02616630022</v>
      </c>
      <c r="AC48" t="s">
        <v>116</v>
      </c>
      <c r="AD48" t="s">
        <v>193</v>
      </c>
      <c r="AF48">
        <v>2022</v>
      </c>
      <c r="AG48">
        <v>3909</v>
      </c>
      <c r="AH48" t="str">
        <f t="shared" si="4"/>
        <v>1</v>
      </c>
      <c r="AI48" t="str">
        <f>"5220234952"</f>
        <v>5220234952</v>
      </c>
      <c r="AJ48" s="1">
        <v>44914</v>
      </c>
      <c r="AL48">
        <v>30.07</v>
      </c>
      <c r="AM48" t="str">
        <f>"8670071246"</f>
        <v>8670071246</v>
      </c>
      <c r="AN48">
        <v>2023</v>
      </c>
      <c r="AO48">
        <v>16</v>
      </c>
      <c r="AP48">
        <v>30.07</v>
      </c>
      <c r="AQ48">
        <v>0</v>
      </c>
      <c r="AR48">
        <v>80.2</v>
      </c>
      <c r="AS48" t="s">
        <v>194</v>
      </c>
      <c r="AT48">
        <v>26.84</v>
      </c>
      <c r="AU48">
        <v>2.68</v>
      </c>
      <c r="AV48">
        <v>2023</v>
      </c>
      <c r="AW48">
        <v>13</v>
      </c>
      <c r="AX48">
        <v>670</v>
      </c>
      <c r="AY48">
        <v>0</v>
      </c>
      <c r="AZ48" t="s">
        <v>195</v>
      </c>
      <c r="BA48">
        <v>30.07</v>
      </c>
      <c r="BB48" s="1">
        <v>44949</v>
      </c>
    </row>
    <row r="49" spans="1:54" x14ac:dyDescent="0.25">
      <c r="A49">
        <v>2023</v>
      </c>
      <c r="B49">
        <v>37</v>
      </c>
      <c r="C49" s="1">
        <v>44949</v>
      </c>
      <c r="D49">
        <v>2023</v>
      </c>
      <c r="E49">
        <v>2022</v>
      </c>
      <c r="F49">
        <v>146</v>
      </c>
      <c r="H49" t="s">
        <v>189</v>
      </c>
      <c r="I49">
        <v>130</v>
      </c>
      <c r="J49">
        <v>0</v>
      </c>
      <c r="K49" t="s">
        <v>128</v>
      </c>
      <c r="R49" t="s">
        <v>190</v>
      </c>
      <c r="S49" t="str">
        <f t="shared" si="3"/>
        <v>31</v>
      </c>
      <c r="T49" t="s">
        <v>122</v>
      </c>
      <c r="W49" t="s">
        <v>191</v>
      </c>
      <c r="Y49">
        <v>3344</v>
      </c>
      <c r="Z49" t="s">
        <v>192</v>
      </c>
      <c r="AB49" t="str">
        <f t="shared" si="5"/>
        <v>02616630022</v>
      </c>
      <c r="AC49" t="s">
        <v>116</v>
      </c>
      <c r="AD49" t="s">
        <v>193</v>
      </c>
      <c r="AF49">
        <v>2022</v>
      </c>
      <c r="AG49">
        <v>3912</v>
      </c>
      <c r="AH49" t="str">
        <f t="shared" si="4"/>
        <v>1</v>
      </c>
      <c r="AI49" t="str">
        <f>"5220234972"</f>
        <v>5220234972</v>
      </c>
      <c r="AJ49" s="1">
        <v>44914</v>
      </c>
      <c r="AL49">
        <v>13.34</v>
      </c>
      <c r="AM49" t="str">
        <f>"8670000447"</f>
        <v>8670000447</v>
      </c>
      <c r="AN49">
        <v>2023</v>
      </c>
      <c r="AO49">
        <v>16</v>
      </c>
      <c r="AP49">
        <v>13.34</v>
      </c>
      <c r="AQ49">
        <v>0</v>
      </c>
      <c r="AR49">
        <v>80.2</v>
      </c>
      <c r="AS49" t="s">
        <v>177</v>
      </c>
      <c r="AT49">
        <v>10.91</v>
      </c>
      <c r="AU49">
        <v>2.4</v>
      </c>
      <c r="AV49">
        <v>2023</v>
      </c>
      <c r="AW49">
        <v>13</v>
      </c>
      <c r="AX49">
        <v>670</v>
      </c>
      <c r="AY49">
        <v>0</v>
      </c>
      <c r="AZ49" t="s">
        <v>195</v>
      </c>
      <c r="BA49">
        <v>13.34</v>
      </c>
      <c r="BB49" s="1">
        <v>44949</v>
      </c>
    </row>
    <row r="50" spans="1:54" x14ac:dyDescent="0.25">
      <c r="A50">
        <v>2023</v>
      </c>
      <c r="B50">
        <v>37</v>
      </c>
      <c r="C50" s="1">
        <v>44949</v>
      </c>
      <c r="D50">
        <v>2023</v>
      </c>
      <c r="E50">
        <v>2022</v>
      </c>
      <c r="F50">
        <v>146</v>
      </c>
      <c r="H50" t="s">
        <v>189</v>
      </c>
      <c r="I50">
        <v>130</v>
      </c>
      <c r="J50">
        <v>0</v>
      </c>
      <c r="K50" t="s">
        <v>128</v>
      </c>
      <c r="R50" t="s">
        <v>190</v>
      </c>
      <c r="S50" t="str">
        <f t="shared" si="3"/>
        <v>31</v>
      </c>
      <c r="T50" t="s">
        <v>122</v>
      </c>
      <c r="W50" t="s">
        <v>191</v>
      </c>
      <c r="Y50">
        <v>3344</v>
      </c>
      <c r="Z50" t="s">
        <v>192</v>
      </c>
      <c r="AB50" t="str">
        <f t="shared" si="5"/>
        <v>02616630022</v>
      </c>
      <c r="AC50" t="s">
        <v>116</v>
      </c>
      <c r="AD50" t="s">
        <v>193</v>
      </c>
      <c r="AF50">
        <v>2022</v>
      </c>
      <c r="AG50">
        <v>3918</v>
      </c>
      <c r="AH50" t="str">
        <f t="shared" si="4"/>
        <v>1</v>
      </c>
      <c r="AI50" t="str">
        <f>"5220234961"</f>
        <v>5220234961</v>
      </c>
      <c r="AJ50" s="1">
        <v>44914</v>
      </c>
      <c r="AL50">
        <v>2.88</v>
      </c>
      <c r="AM50" t="str">
        <f>"8670015052"</f>
        <v>8670015052</v>
      </c>
      <c r="AN50">
        <v>2023</v>
      </c>
      <c r="AO50">
        <v>16</v>
      </c>
      <c r="AP50">
        <v>2.88</v>
      </c>
      <c r="AQ50">
        <v>0</v>
      </c>
      <c r="AR50">
        <v>80.2</v>
      </c>
      <c r="AS50" t="s">
        <v>194</v>
      </c>
      <c r="AT50">
        <v>1.98</v>
      </c>
      <c r="AU50">
        <v>0.2</v>
      </c>
      <c r="AV50">
        <v>2023</v>
      </c>
      <c r="AW50">
        <v>13</v>
      </c>
      <c r="AX50">
        <v>670</v>
      </c>
      <c r="AY50">
        <v>0</v>
      </c>
      <c r="AZ50" t="s">
        <v>195</v>
      </c>
      <c r="BA50">
        <v>2.88</v>
      </c>
      <c r="BB50" s="1">
        <v>44949</v>
      </c>
    </row>
    <row r="51" spans="1:54" x14ac:dyDescent="0.25">
      <c r="A51">
        <v>2023</v>
      </c>
      <c r="B51">
        <v>37</v>
      </c>
      <c r="C51" s="1">
        <v>44949</v>
      </c>
      <c r="D51">
        <v>2023</v>
      </c>
      <c r="E51">
        <v>2022</v>
      </c>
      <c r="F51">
        <v>146</v>
      </c>
      <c r="H51" t="s">
        <v>189</v>
      </c>
      <c r="I51">
        <v>130</v>
      </c>
      <c r="J51">
        <v>0</v>
      </c>
      <c r="K51" t="s">
        <v>128</v>
      </c>
      <c r="R51" t="s">
        <v>190</v>
      </c>
      <c r="S51" t="str">
        <f t="shared" si="3"/>
        <v>31</v>
      </c>
      <c r="T51" t="s">
        <v>122</v>
      </c>
      <c r="W51" t="s">
        <v>191</v>
      </c>
      <c r="Y51">
        <v>3344</v>
      </c>
      <c r="Z51" t="s">
        <v>192</v>
      </c>
      <c r="AB51" t="str">
        <f t="shared" si="5"/>
        <v>02616630022</v>
      </c>
      <c r="AC51" t="s">
        <v>116</v>
      </c>
      <c r="AD51" t="s">
        <v>193</v>
      </c>
      <c r="AF51">
        <v>2022</v>
      </c>
      <c r="AG51">
        <v>3923</v>
      </c>
      <c r="AH51" t="str">
        <f t="shared" si="4"/>
        <v>1</v>
      </c>
      <c r="AI51" t="str">
        <f>"5220235033"</f>
        <v>5220235033</v>
      </c>
      <c r="AJ51" s="1">
        <v>44914</v>
      </c>
      <c r="AL51">
        <v>35.49</v>
      </c>
      <c r="AM51" t="str">
        <f>"8669892558"</f>
        <v>8669892558</v>
      </c>
      <c r="AN51">
        <v>2023</v>
      </c>
      <c r="AO51">
        <v>16</v>
      </c>
      <c r="AP51">
        <v>35.49</v>
      </c>
      <c r="AQ51">
        <v>0</v>
      </c>
      <c r="AR51">
        <v>80.2</v>
      </c>
      <c r="AS51" t="s">
        <v>194</v>
      </c>
      <c r="AT51">
        <v>32.18</v>
      </c>
      <c r="AU51">
        <v>3.22</v>
      </c>
      <c r="AV51">
        <v>2023</v>
      </c>
      <c r="AW51">
        <v>13</v>
      </c>
      <c r="AX51">
        <v>670</v>
      </c>
      <c r="AY51">
        <v>0</v>
      </c>
      <c r="AZ51" t="s">
        <v>195</v>
      </c>
      <c r="BA51">
        <v>35.49</v>
      </c>
      <c r="BB51" s="1">
        <v>44949</v>
      </c>
    </row>
    <row r="52" spans="1:54" x14ac:dyDescent="0.25">
      <c r="A52">
        <v>2023</v>
      </c>
      <c r="B52">
        <v>37</v>
      </c>
      <c r="C52" s="1">
        <v>44949</v>
      </c>
      <c r="D52">
        <v>2023</v>
      </c>
      <c r="E52">
        <v>2022</v>
      </c>
      <c r="F52">
        <v>146</v>
      </c>
      <c r="H52" t="s">
        <v>189</v>
      </c>
      <c r="I52">
        <v>130</v>
      </c>
      <c r="J52">
        <v>0</v>
      </c>
      <c r="K52" t="s">
        <v>128</v>
      </c>
      <c r="R52" t="s">
        <v>190</v>
      </c>
      <c r="S52" t="str">
        <f t="shared" si="3"/>
        <v>31</v>
      </c>
      <c r="T52" t="s">
        <v>122</v>
      </c>
      <c r="W52" t="s">
        <v>191</v>
      </c>
      <c r="Y52">
        <v>3344</v>
      </c>
      <c r="Z52" t="s">
        <v>192</v>
      </c>
      <c r="AB52" t="str">
        <f t="shared" si="5"/>
        <v>02616630022</v>
      </c>
      <c r="AC52" t="s">
        <v>116</v>
      </c>
      <c r="AD52" t="s">
        <v>193</v>
      </c>
      <c r="AF52">
        <v>2022</v>
      </c>
      <c r="AG52">
        <v>3928</v>
      </c>
      <c r="AH52" t="str">
        <f t="shared" si="4"/>
        <v>1</v>
      </c>
      <c r="AI52" t="str">
        <f>"5220235030"</f>
        <v>5220235030</v>
      </c>
      <c r="AJ52" s="1">
        <v>44914</v>
      </c>
      <c r="AL52">
        <v>6.07</v>
      </c>
      <c r="AM52" t="str">
        <f>"8669872658"</f>
        <v>8669872658</v>
      </c>
      <c r="AN52">
        <v>2023</v>
      </c>
      <c r="AO52">
        <v>16</v>
      </c>
      <c r="AP52">
        <v>6.07</v>
      </c>
      <c r="AQ52">
        <v>0</v>
      </c>
      <c r="AR52">
        <v>80.2</v>
      </c>
      <c r="AS52" t="s">
        <v>194</v>
      </c>
      <c r="AT52">
        <v>5.52</v>
      </c>
      <c r="AU52">
        <v>0.55000000000000004</v>
      </c>
      <c r="AV52">
        <v>2023</v>
      </c>
      <c r="AW52">
        <v>13</v>
      </c>
      <c r="AX52">
        <v>670</v>
      </c>
      <c r="AY52">
        <v>0</v>
      </c>
      <c r="AZ52" t="s">
        <v>195</v>
      </c>
      <c r="BA52">
        <v>6.07</v>
      </c>
      <c r="BB52" s="1">
        <v>44949</v>
      </c>
    </row>
    <row r="53" spans="1:54" x14ac:dyDescent="0.25">
      <c r="A53">
        <v>2023</v>
      </c>
      <c r="B53">
        <v>37</v>
      </c>
      <c r="C53" s="1">
        <v>44949</v>
      </c>
      <c r="D53">
        <v>2023</v>
      </c>
      <c r="E53">
        <v>2022</v>
      </c>
      <c r="F53">
        <v>146</v>
      </c>
      <c r="H53" t="s">
        <v>189</v>
      </c>
      <c r="I53">
        <v>130</v>
      </c>
      <c r="J53">
        <v>0</v>
      </c>
      <c r="K53" t="s">
        <v>128</v>
      </c>
      <c r="R53" t="s">
        <v>190</v>
      </c>
      <c r="S53" t="str">
        <f t="shared" si="3"/>
        <v>31</v>
      </c>
      <c r="T53" t="s">
        <v>122</v>
      </c>
      <c r="W53" t="s">
        <v>191</v>
      </c>
      <c r="Y53">
        <v>3344</v>
      </c>
      <c r="Z53" t="s">
        <v>192</v>
      </c>
      <c r="AB53" t="str">
        <f t="shared" si="5"/>
        <v>02616630022</v>
      </c>
      <c r="AC53" t="s">
        <v>116</v>
      </c>
      <c r="AD53" t="s">
        <v>193</v>
      </c>
      <c r="AF53">
        <v>2022</v>
      </c>
      <c r="AG53">
        <v>3929</v>
      </c>
      <c r="AH53" t="str">
        <f t="shared" si="4"/>
        <v>1</v>
      </c>
      <c r="AI53" t="str">
        <f>"5220234960"</f>
        <v>5220234960</v>
      </c>
      <c r="AJ53" s="1">
        <v>44914</v>
      </c>
      <c r="AL53">
        <v>3.56</v>
      </c>
      <c r="AM53" t="str">
        <f>"8669973059"</f>
        <v>8669973059</v>
      </c>
      <c r="AN53">
        <v>2023</v>
      </c>
      <c r="AO53">
        <v>16</v>
      </c>
      <c r="AP53">
        <v>3.56</v>
      </c>
      <c r="AQ53">
        <v>0</v>
      </c>
      <c r="AR53">
        <v>80.2</v>
      </c>
      <c r="AS53" t="s">
        <v>194</v>
      </c>
      <c r="AT53">
        <v>1.87</v>
      </c>
      <c r="AU53">
        <v>0.19</v>
      </c>
      <c r="AV53">
        <v>2023</v>
      </c>
      <c r="AW53">
        <v>13</v>
      </c>
      <c r="AX53">
        <v>670</v>
      </c>
      <c r="AY53">
        <v>0</v>
      </c>
      <c r="AZ53" t="s">
        <v>195</v>
      </c>
      <c r="BA53">
        <v>3.56</v>
      </c>
      <c r="BB53" s="1">
        <v>44949</v>
      </c>
    </row>
    <row r="54" spans="1:54" x14ac:dyDescent="0.25">
      <c r="A54">
        <v>2023</v>
      </c>
      <c r="B54">
        <v>37</v>
      </c>
      <c r="C54" s="1">
        <v>44949</v>
      </c>
      <c r="D54">
        <v>2023</v>
      </c>
      <c r="E54">
        <v>2022</v>
      </c>
      <c r="F54">
        <v>146</v>
      </c>
      <c r="H54" t="s">
        <v>189</v>
      </c>
      <c r="I54">
        <v>130</v>
      </c>
      <c r="J54">
        <v>0</v>
      </c>
      <c r="K54" t="s">
        <v>128</v>
      </c>
      <c r="R54" t="s">
        <v>190</v>
      </c>
      <c r="S54" t="str">
        <f t="shared" si="3"/>
        <v>31</v>
      </c>
      <c r="T54" t="s">
        <v>122</v>
      </c>
      <c r="W54" t="s">
        <v>191</v>
      </c>
      <c r="Y54">
        <v>3344</v>
      </c>
      <c r="Z54" t="s">
        <v>192</v>
      </c>
      <c r="AB54" t="str">
        <f t="shared" si="5"/>
        <v>02616630022</v>
      </c>
      <c r="AC54" t="s">
        <v>116</v>
      </c>
      <c r="AD54" t="s">
        <v>193</v>
      </c>
      <c r="AF54">
        <v>2022</v>
      </c>
      <c r="AG54">
        <v>3931</v>
      </c>
      <c r="AH54" t="str">
        <f t="shared" si="4"/>
        <v>1</v>
      </c>
      <c r="AI54" t="str">
        <f>"5220234947"</f>
        <v>5220234947</v>
      </c>
      <c r="AJ54" s="1">
        <v>44914</v>
      </c>
      <c r="AL54">
        <v>3.44</v>
      </c>
      <c r="AM54" t="str">
        <f>"8670034658"</f>
        <v>8670034658</v>
      </c>
      <c r="AN54">
        <v>2023</v>
      </c>
      <c r="AO54">
        <v>16</v>
      </c>
      <c r="AP54">
        <v>3.44</v>
      </c>
      <c r="AQ54">
        <v>0</v>
      </c>
      <c r="AR54">
        <v>80.2</v>
      </c>
      <c r="AS54" t="s">
        <v>194</v>
      </c>
      <c r="AT54">
        <v>1.98</v>
      </c>
      <c r="AU54">
        <v>0.2</v>
      </c>
      <c r="AV54">
        <v>2023</v>
      </c>
      <c r="AW54">
        <v>13</v>
      </c>
      <c r="AX54">
        <v>670</v>
      </c>
      <c r="AY54">
        <v>0</v>
      </c>
      <c r="AZ54" t="s">
        <v>195</v>
      </c>
      <c r="BA54">
        <v>3.44</v>
      </c>
      <c r="BB54" s="1">
        <v>44949</v>
      </c>
    </row>
    <row r="55" spans="1:54" x14ac:dyDescent="0.25">
      <c r="A55">
        <v>2023</v>
      </c>
      <c r="B55">
        <v>37</v>
      </c>
      <c r="C55" s="1">
        <v>44949</v>
      </c>
      <c r="D55">
        <v>2023</v>
      </c>
      <c r="E55">
        <v>2022</v>
      </c>
      <c r="F55">
        <v>146</v>
      </c>
      <c r="H55" t="s">
        <v>189</v>
      </c>
      <c r="I55">
        <v>130</v>
      </c>
      <c r="J55">
        <v>0</v>
      </c>
      <c r="K55" t="s">
        <v>128</v>
      </c>
      <c r="R55" t="s">
        <v>190</v>
      </c>
      <c r="S55" t="str">
        <f t="shared" si="3"/>
        <v>31</v>
      </c>
      <c r="T55" t="s">
        <v>122</v>
      </c>
      <c r="W55" t="s">
        <v>191</v>
      </c>
      <c r="Y55">
        <v>3344</v>
      </c>
      <c r="Z55" t="s">
        <v>192</v>
      </c>
      <c r="AB55" t="str">
        <f t="shared" si="5"/>
        <v>02616630022</v>
      </c>
      <c r="AC55" t="s">
        <v>116</v>
      </c>
      <c r="AD55" t="s">
        <v>193</v>
      </c>
      <c r="AF55">
        <v>2022</v>
      </c>
      <c r="AG55">
        <v>3935</v>
      </c>
      <c r="AH55" t="str">
        <f t="shared" si="4"/>
        <v>1</v>
      </c>
      <c r="AI55" t="str">
        <f>"5220234970"</f>
        <v>5220234970</v>
      </c>
      <c r="AJ55" s="1">
        <v>44914</v>
      </c>
      <c r="AL55">
        <v>5.03</v>
      </c>
      <c r="AM55" t="str">
        <f>"8669977062"</f>
        <v>8669977062</v>
      </c>
      <c r="AN55">
        <v>2023</v>
      </c>
      <c r="AO55">
        <v>16</v>
      </c>
      <c r="AP55">
        <v>5.03</v>
      </c>
      <c r="AQ55">
        <v>0</v>
      </c>
      <c r="AR55">
        <v>80.2</v>
      </c>
      <c r="AS55" t="s">
        <v>196</v>
      </c>
      <c r="AT55">
        <v>3.28</v>
      </c>
      <c r="AU55">
        <v>0.33</v>
      </c>
      <c r="AV55">
        <v>2023</v>
      </c>
      <c r="AW55">
        <v>13</v>
      </c>
      <c r="AX55">
        <v>670</v>
      </c>
      <c r="AY55">
        <v>0</v>
      </c>
      <c r="AZ55" t="s">
        <v>195</v>
      </c>
      <c r="BA55">
        <v>5.03</v>
      </c>
      <c r="BB55" s="1">
        <v>44949</v>
      </c>
    </row>
    <row r="56" spans="1:54" x14ac:dyDescent="0.25">
      <c r="A56">
        <v>2023</v>
      </c>
      <c r="B56">
        <v>37</v>
      </c>
      <c r="C56" s="1">
        <v>44949</v>
      </c>
      <c r="D56">
        <v>2023</v>
      </c>
      <c r="E56">
        <v>2022</v>
      </c>
      <c r="F56">
        <v>146</v>
      </c>
      <c r="H56" t="s">
        <v>189</v>
      </c>
      <c r="I56">
        <v>130</v>
      </c>
      <c r="J56">
        <v>0</v>
      </c>
      <c r="K56" t="s">
        <v>128</v>
      </c>
      <c r="R56" t="s">
        <v>190</v>
      </c>
      <c r="S56" t="str">
        <f t="shared" si="3"/>
        <v>31</v>
      </c>
      <c r="T56" t="s">
        <v>122</v>
      </c>
      <c r="W56" t="s">
        <v>191</v>
      </c>
      <c r="Y56">
        <v>3344</v>
      </c>
      <c r="Z56" t="s">
        <v>192</v>
      </c>
      <c r="AB56" t="str">
        <f t="shared" si="5"/>
        <v>02616630022</v>
      </c>
      <c r="AC56" t="s">
        <v>116</v>
      </c>
      <c r="AD56" t="s">
        <v>193</v>
      </c>
      <c r="AF56">
        <v>2022</v>
      </c>
      <c r="AG56">
        <v>3937</v>
      </c>
      <c r="AH56" t="str">
        <f t="shared" si="4"/>
        <v>1</v>
      </c>
      <c r="AI56" t="str">
        <f>"5220234943"</f>
        <v>5220234943</v>
      </c>
      <c r="AJ56" s="1">
        <v>44914</v>
      </c>
      <c r="AL56">
        <v>3.51</v>
      </c>
      <c r="AM56" t="str">
        <f>"8670094868"</f>
        <v>8670094868</v>
      </c>
      <c r="AN56">
        <v>2023</v>
      </c>
      <c r="AO56">
        <v>16</v>
      </c>
      <c r="AP56">
        <v>3.51</v>
      </c>
      <c r="AQ56">
        <v>0</v>
      </c>
      <c r="AR56">
        <v>80.2</v>
      </c>
      <c r="AS56" t="s">
        <v>194</v>
      </c>
      <c r="AT56">
        <v>1.96</v>
      </c>
      <c r="AU56">
        <v>0.2</v>
      </c>
      <c r="AV56">
        <v>2023</v>
      </c>
      <c r="AW56">
        <v>13</v>
      </c>
      <c r="AX56">
        <v>670</v>
      </c>
      <c r="AY56">
        <v>0</v>
      </c>
      <c r="AZ56" t="s">
        <v>195</v>
      </c>
      <c r="BA56">
        <v>3.51</v>
      </c>
      <c r="BB56" s="1">
        <v>44949</v>
      </c>
    </row>
    <row r="57" spans="1:54" x14ac:dyDescent="0.25">
      <c r="A57">
        <v>2023</v>
      </c>
      <c r="B57">
        <v>37</v>
      </c>
      <c r="C57" s="1">
        <v>44949</v>
      </c>
      <c r="D57">
        <v>2023</v>
      </c>
      <c r="E57">
        <v>2022</v>
      </c>
      <c r="F57">
        <v>146</v>
      </c>
      <c r="H57" t="s">
        <v>189</v>
      </c>
      <c r="I57">
        <v>130</v>
      </c>
      <c r="J57">
        <v>0</v>
      </c>
      <c r="K57" t="s">
        <v>128</v>
      </c>
      <c r="R57" t="s">
        <v>190</v>
      </c>
      <c r="S57" t="str">
        <f t="shared" si="3"/>
        <v>31</v>
      </c>
      <c r="T57" t="s">
        <v>122</v>
      </c>
      <c r="W57" t="s">
        <v>191</v>
      </c>
      <c r="Y57">
        <v>3344</v>
      </c>
      <c r="Z57" t="s">
        <v>192</v>
      </c>
      <c r="AB57" t="str">
        <f t="shared" si="5"/>
        <v>02616630022</v>
      </c>
      <c r="AC57" t="s">
        <v>116</v>
      </c>
      <c r="AD57" t="s">
        <v>193</v>
      </c>
      <c r="AF57">
        <v>2022</v>
      </c>
      <c r="AG57">
        <v>3944</v>
      </c>
      <c r="AH57" t="str">
        <f t="shared" si="4"/>
        <v>1</v>
      </c>
      <c r="AI57" t="str">
        <f>"5220234946"</f>
        <v>5220234946</v>
      </c>
      <c r="AJ57" s="1">
        <v>44914</v>
      </c>
      <c r="AL57">
        <v>7.16</v>
      </c>
      <c r="AM57" t="str">
        <f>"8670005775"</f>
        <v>8670005775</v>
      </c>
      <c r="AN57">
        <v>2023</v>
      </c>
      <c r="AO57">
        <v>16</v>
      </c>
      <c r="AP57">
        <v>7.16</v>
      </c>
      <c r="AQ57">
        <v>0</v>
      </c>
      <c r="AR57">
        <v>80.2</v>
      </c>
      <c r="AS57" t="s">
        <v>194</v>
      </c>
      <c r="AT57">
        <v>1.98</v>
      </c>
      <c r="AU57">
        <v>0.2</v>
      </c>
      <c r="AV57">
        <v>2023</v>
      </c>
      <c r="AW57">
        <v>13</v>
      </c>
      <c r="AX57">
        <v>670</v>
      </c>
      <c r="AY57">
        <v>0</v>
      </c>
      <c r="AZ57" t="s">
        <v>195</v>
      </c>
      <c r="BA57">
        <v>7.16</v>
      </c>
      <c r="BB57" s="1">
        <v>44949</v>
      </c>
    </row>
    <row r="58" spans="1:54" x14ac:dyDescent="0.25">
      <c r="A58">
        <v>2023</v>
      </c>
      <c r="B58">
        <v>37</v>
      </c>
      <c r="C58" s="1">
        <v>44949</v>
      </c>
      <c r="D58">
        <v>2023</v>
      </c>
      <c r="E58">
        <v>2022</v>
      </c>
      <c r="F58">
        <v>146</v>
      </c>
      <c r="H58" t="s">
        <v>189</v>
      </c>
      <c r="I58">
        <v>130</v>
      </c>
      <c r="J58">
        <v>0</v>
      </c>
      <c r="K58" t="s">
        <v>128</v>
      </c>
      <c r="R58" t="s">
        <v>190</v>
      </c>
      <c r="S58" t="str">
        <f t="shared" si="3"/>
        <v>31</v>
      </c>
      <c r="T58" t="s">
        <v>122</v>
      </c>
      <c r="W58" t="s">
        <v>191</v>
      </c>
      <c r="Y58">
        <v>3344</v>
      </c>
      <c r="Z58" t="s">
        <v>192</v>
      </c>
      <c r="AB58" t="str">
        <f t="shared" si="5"/>
        <v>02616630022</v>
      </c>
      <c r="AC58" t="s">
        <v>116</v>
      </c>
      <c r="AD58" t="s">
        <v>193</v>
      </c>
      <c r="AF58">
        <v>2022</v>
      </c>
      <c r="AG58">
        <v>3954</v>
      </c>
      <c r="AH58" t="str">
        <f t="shared" si="4"/>
        <v>1</v>
      </c>
      <c r="AI58" t="str">
        <f>"5220235052"</f>
        <v>5220235052</v>
      </c>
      <c r="AJ58" s="1">
        <v>44914</v>
      </c>
      <c r="AL58">
        <v>39.78</v>
      </c>
      <c r="AM58" t="str">
        <f>"8669858071"</f>
        <v>8669858071</v>
      </c>
      <c r="AN58">
        <v>2023</v>
      </c>
      <c r="AO58">
        <v>16</v>
      </c>
      <c r="AP58">
        <v>39.78</v>
      </c>
      <c r="AQ58">
        <v>0</v>
      </c>
      <c r="AR58">
        <v>80.2</v>
      </c>
      <c r="AS58" t="s">
        <v>177</v>
      </c>
      <c r="AT58">
        <v>32.56</v>
      </c>
      <c r="AU58">
        <v>7.16</v>
      </c>
      <c r="AV58">
        <v>2023</v>
      </c>
      <c r="AW58">
        <v>13</v>
      </c>
      <c r="AX58">
        <v>670</v>
      </c>
      <c r="AY58">
        <v>0</v>
      </c>
      <c r="AZ58" t="s">
        <v>195</v>
      </c>
      <c r="BA58">
        <v>39.78</v>
      </c>
      <c r="BB58" s="1">
        <v>44949</v>
      </c>
    </row>
    <row r="59" spans="1:54" x14ac:dyDescent="0.25">
      <c r="A59">
        <v>2023</v>
      </c>
      <c r="B59">
        <v>37</v>
      </c>
      <c r="C59" s="1">
        <v>44949</v>
      </c>
      <c r="D59">
        <v>2023</v>
      </c>
      <c r="E59">
        <v>2022</v>
      </c>
      <c r="F59">
        <v>146</v>
      </c>
      <c r="H59" t="s">
        <v>189</v>
      </c>
      <c r="I59">
        <v>130</v>
      </c>
      <c r="J59">
        <v>0</v>
      </c>
      <c r="K59" t="s">
        <v>128</v>
      </c>
      <c r="R59" t="s">
        <v>190</v>
      </c>
      <c r="S59" t="str">
        <f t="shared" si="3"/>
        <v>31</v>
      </c>
      <c r="T59" t="s">
        <v>122</v>
      </c>
      <c r="W59" t="s">
        <v>191</v>
      </c>
      <c r="Y59">
        <v>3344</v>
      </c>
      <c r="Z59" t="s">
        <v>192</v>
      </c>
      <c r="AB59" t="str">
        <f t="shared" si="5"/>
        <v>02616630022</v>
      </c>
      <c r="AC59" t="s">
        <v>116</v>
      </c>
      <c r="AD59" t="s">
        <v>193</v>
      </c>
      <c r="AF59">
        <v>2022</v>
      </c>
      <c r="AG59">
        <v>3958</v>
      </c>
      <c r="AH59" t="str">
        <f t="shared" si="4"/>
        <v>1</v>
      </c>
      <c r="AI59" t="str">
        <f>"5220234983"</f>
        <v>5220234983</v>
      </c>
      <c r="AJ59" s="1">
        <v>44914</v>
      </c>
      <c r="AL59">
        <v>5.0999999999999996</v>
      </c>
      <c r="AM59" t="str">
        <f>"8669969678"</f>
        <v>8669969678</v>
      </c>
      <c r="AN59">
        <v>2023</v>
      </c>
      <c r="AO59">
        <v>16</v>
      </c>
      <c r="AP59">
        <v>5.0999999999999996</v>
      </c>
      <c r="AQ59">
        <v>0</v>
      </c>
      <c r="AR59">
        <v>80.2</v>
      </c>
      <c r="AS59" t="s">
        <v>194</v>
      </c>
      <c r="AT59">
        <v>1.97</v>
      </c>
      <c r="AU59">
        <v>0.2</v>
      </c>
      <c r="AV59">
        <v>2023</v>
      </c>
      <c r="AW59">
        <v>13</v>
      </c>
      <c r="AX59">
        <v>670</v>
      </c>
      <c r="AY59">
        <v>0</v>
      </c>
      <c r="AZ59" t="s">
        <v>195</v>
      </c>
      <c r="BA59">
        <v>5.0999999999999996</v>
      </c>
      <c r="BB59" s="1">
        <v>44949</v>
      </c>
    </row>
    <row r="60" spans="1:54" x14ac:dyDescent="0.25">
      <c r="A60">
        <v>2023</v>
      </c>
      <c r="B60">
        <v>37</v>
      </c>
      <c r="C60" s="1">
        <v>44949</v>
      </c>
      <c r="D60">
        <v>2023</v>
      </c>
      <c r="E60">
        <v>2022</v>
      </c>
      <c r="F60">
        <v>146</v>
      </c>
      <c r="H60" t="s">
        <v>189</v>
      </c>
      <c r="I60">
        <v>130</v>
      </c>
      <c r="J60">
        <v>0</v>
      </c>
      <c r="K60" t="s">
        <v>128</v>
      </c>
      <c r="R60" t="s">
        <v>190</v>
      </c>
      <c r="S60" t="str">
        <f t="shared" si="3"/>
        <v>31</v>
      </c>
      <c r="T60" t="s">
        <v>122</v>
      </c>
      <c r="W60" t="s">
        <v>191</v>
      </c>
      <c r="Y60">
        <v>3344</v>
      </c>
      <c r="Z60" t="s">
        <v>192</v>
      </c>
      <c r="AB60" t="str">
        <f t="shared" si="5"/>
        <v>02616630022</v>
      </c>
      <c r="AC60" t="s">
        <v>116</v>
      </c>
      <c r="AD60" t="s">
        <v>193</v>
      </c>
      <c r="AF60">
        <v>2022</v>
      </c>
      <c r="AG60">
        <v>3966</v>
      </c>
      <c r="AH60" t="str">
        <f t="shared" si="4"/>
        <v>1</v>
      </c>
      <c r="AI60" t="str">
        <f>"5220234981"</f>
        <v>5220234981</v>
      </c>
      <c r="AJ60" s="1">
        <v>44914</v>
      </c>
      <c r="AL60">
        <v>43.45</v>
      </c>
      <c r="AM60" t="str">
        <f>"8669967276"</f>
        <v>8669967276</v>
      </c>
      <c r="AN60">
        <v>2023</v>
      </c>
      <c r="AO60">
        <v>16</v>
      </c>
      <c r="AP60">
        <v>43.45</v>
      </c>
      <c r="AQ60">
        <v>0</v>
      </c>
      <c r="AR60">
        <v>80.2</v>
      </c>
      <c r="AS60" t="s">
        <v>194</v>
      </c>
      <c r="AT60">
        <v>39.24</v>
      </c>
      <c r="AU60">
        <v>3.92</v>
      </c>
      <c r="AV60">
        <v>2023</v>
      </c>
      <c r="AW60">
        <v>13</v>
      </c>
      <c r="AX60">
        <v>670</v>
      </c>
      <c r="AY60">
        <v>0</v>
      </c>
      <c r="AZ60" t="s">
        <v>195</v>
      </c>
      <c r="BA60">
        <v>43.45</v>
      </c>
      <c r="BB60" s="1">
        <v>44949</v>
      </c>
    </row>
    <row r="61" spans="1:54" x14ac:dyDescent="0.25">
      <c r="A61">
        <v>2023</v>
      </c>
      <c r="B61">
        <v>37</v>
      </c>
      <c r="C61" s="1">
        <v>44949</v>
      </c>
      <c r="D61">
        <v>2023</v>
      </c>
      <c r="E61">
        <v>2022</v>
      </c>
      <c r="F61">
        <v>146</v>
      </c>
      <c r="H61" t="s">
        <v>189</v>
      </c>
      <c r="I61">
        <v>130</v>
      </c>
      <c r="J61">
        <v>0</v>
      </c>
      <c r="K61" t="s">
        <v>128</v>
      </c>
      <c r="R61" t="s">
        <v>190</v>
      </c>
      <c r="S61" t="str">
        <f t="shared" si="3"/>
        <v>31</v>
      </c>
      <c r="T61" t="s">
        <v>122</v>
      </c>
      <c r="W61" t="s">
        <v>191</v>
      </c>
      <c r="Y61">
        <v>3344</v>
      </c>
      <c r="Z61" t="s">
        <v>192</v>
      </c>
      <c r="AB61" t="str">
        <f t="shared" si="5"/>
        <v>02616630022</v>
      </c>
      <c r="AC61" t="s">
        <v>116</v>
      </c>
      <c r="AD61" t="s">
        <v>193</v>
      </c>
      <c r="AF61">
        <v>2022</v>
      </c>
      <c r="AG61">
        <v>3971</v>
      </c>
      <c r="AH61" t="str">
        <f t="shared" si="4"/>
        <v>1</v>
      </c>
      <c r="AI61" t="str">
        <f>"5220234942"</f>
        <v>5220234942</v>
      </c>
      <c r="AJ61" s="1">
        <v>44914</v>
      </c>
      <c r="AL61">
        <v>3.66</v>
      </c>
      <c r="AM61" t="str">
        <f>"8670091086"</f>
        <v>8670091086</v>
      </c>
      <c r="AN61">
        <v>2023</v>
      </c>
      <c r="AO61">
        <v>16</v>
      </c>
      <c r="AP61">
        <v>3.66</v>
      </c>
      <c r="AQ61">
        <v>0</v>
      </c>
      <c r="AR61">
        <v>80.2</v>
      </c>
      <c r="AS61" t="s">
        <v>194</v>
      </c>
      <c r="AT61">
        <v>1.98</v>
      </c>
      <c r="AU61">
        <v>0.2</v>
      </c>
      <c r="AV61">
        <v>2023</v>
      </c>
      <c r="AW61">
        <v>13</v>
      </c>
      <c r="AX61">
        <v>670</v>
      </c>
      <c r="AY61">
        <v>0</v>
      </c>
      <c r="AZ61" t="s">
        <v>195</v>
      </c>
      <c r="BA61">
        <v>3.66</v>
      </c>
      <c r="BB61" s="1">
        <v>44949</v>
      </c>
    </row>
    <row r="62" spans="1:54" x14ac:dyDescent="0.25">
      <c r="A62">
        <v>2023</v>
      </c>
      <c r="B62">
        <v>37</v>
      </c>
      <c r="C62" s="1">
        <v>44949</v>
      </c>
      <c r="D62">
        <v>2023</v>
      </c>
      <c r="E62">
        <v>2022</v>
      </c>
      <c r="F62">
        <v>146</v>
      </c>
      <c r="H62" t="s">
        <v>189</v>
      </c>
      <c r="I62">
        <v>130</v>
      </c>
      <c r="J62">
        <v>0</v>
      </c>
      <c r="K62" t="s">
        <v>128</v>
      </c>
      <c r="R62" t="s">
        <v>190</v>
      </c>
      <c r="S62" t="str">
        <f t="shared" si="3"/>
        <v>31</v>
      </c>
      <c r="T62" t="s">
        <v>122</v>
      </c>
      <c r="W62" t="s">
        <v>191</v>
      </c>
      <c r="Y62">
        <v>3344</v>
      </c>
      <c r="Z62" t="s">
        <v>192</v>
      </c>
      <c r="AB62" t="str">
        <f t="shared" si="5"/>
        <v>02616630022</v>
      </c>
      <c r="AC62" t="s">
        <v>116</v>
      </c>
      <c r="AD62" t="s">
        <v>193</v>
      </c>
      <c r="AF62">
        <v>2022</v>
      </c>
      <c r="AG62">
        <v>3976</v>
      </c>
      <c r="AH62" t="str">
        <f t="shared" si="4"/>
        <v>1</v>
      </c>
      <c r="AI62" t="str">
        <f>"5220234959"</f>
        <v>5220234959</v>
      </c>
      <c r="AJ62" s="1">
        <v>44914</v>
      </c>
      <c r="AL62">
        <v>33.83</v>
      </c>
      <c r="AM62" t="str">
        <f>"8669987891"</f>
        <v>8669987891</v>
      </c>
      <c r="AN62">
        <v>2023</v>
      </c>
      <c r="AO62">
        <v>16</v>
      </c>
      <c r="AP62">
        <v>33.83</v>
      </c>
      <c r="AQ62">
        <v>0</v>
      </c>
      <c r="AR62">
        <v>80.2</v>
      </c>
      <c r="AS62" t="s">
        <v>194</v>
      </c>
      <c r="AT62">
        <v>30.68</v>
      </c>
      <c r="AU62">
        <v>3.07</v>
      </c>
      <c r="AV62">
        <v>2023</v>
      </c>
      <c r="AW62">
        <v>13</v>
      </c>
      <c r="AX62">
        <v>670</v>
      </c>
      <c r="AY62">
        <v>0</v>
      </c>
      <c r="AZ62" t="s">
        <v>195</v>
      </c>
      <c r="BA62">
        <v>33.83</v>
      </c>
      <c r="BB62" s="1">
        <v>44949</v>
      </c>
    </row>
    <row r="63" spans="1:54" x14ac:dyDescent="0.25">
      <c r="A63">
        <v>2023</v>
      </c>
      <c r="B63">
        <v>38</v>
      </c>
      <c r="C63" s="1">
        <v>44949</v>
      </c>
      <c r="D63">
        <v>2023</v>
      </c>
      <c r="E63">
        <v>2022</v>
      </c>
      <c r="F63">
        <v>589</v>
      </c>
      <c r="H63" t="s">
        <v>197</v>
      </c>
      <c r="I63">
        <v>130</v>
      </c>
      <c r="J63">
        <v>0</v>
      </c>
      <c r="K63" t="s">
        <v>128</v>
      </c>
      <c r="R63" t="s">
        <v>190</v>
      </c>
      <c r="S63" t="str">
        <f>"30"</f>
        <v>30</v>
      </c>
      <c r="T63" t="s">
        <v>78</v>
      </c>
      <c r="W63" t="s">
        <v>198</v>
      </c>
      <c r="Y63">
        <v>3344</v>
      </c>
      <c r="Z63" t="s">
        <v>192</v>
      </c>
      <c r="AB63" t="str">
        <f t="shared" si="5"/>
        <v>02616630022</v>
      </c>
      <c r="AC63" t="s">
        <v>116</v>
      </c>
      <c r="AD63" t="s">
        <v>193</v>
      </c>
      <c r="AF63">
        <v>2022</v>
      </c>
      <c r="AG63">
        <v>3845</v>
      </c>
      <c r="AH63" t="str">
        <f t="shared" si="4"/>
        <v>1</v>
      </c>
      <c r="AI63" t="str">
        <f>"5220235028"</f>
        <v>5220235028</v>
      </c>
      <c r="AJ63" s="1">
        <v>44914</v>
      </c>
      <c r="AL63" s="2">
        <v>3456.02</v>
      </c>
      <c r="AM63" t="str">
        <f>"8669880912"</f>
        <v>8669880912</v>
      </c>
      <c r="AN63">
        <v>2023</v>
      </c>
      <c r="AO63">
        <v>18</v>
      </c>
      <c r="AP63" s="2">
        <v>3456.02</v>
      </c>
      <c r="AQ63">
        <v>0</v>
      </c>
      <c r="AR63" s="2">
        <v>1713.41</v>
      </c>
      <c r="AS63" t="s">
        <v>194</v>
      </c>
      <c r="AT63">
        <v>3137.85</v>
      </c>
      <c r="AU63">
        <v>313.79000000000002</v>
      </c>
      <c r="AV63">
        <v>2023</v>
      </c>
      <c r="AW63">
        <v>14</v>
      </c>
      <c r="AX63">
        <v>670</v>
      </c>
      <c r="AY63">
        <v>0</v>
      </c>
      <c r="AZ63" t="s">
        <v>199</v>
      </c>
      <c r="BA63">
        <v>3456.02</v>
      </c>
      <c r="BB63" s="1">
        <v>44949</v>
      </c>
    </row>
    <row r="64" spans="1:54" x14ac:dyDescent="0.25">
      <c r="A64">
        <v>2023</v>
      </c>
      <c r="B64">
        <v>38</v>
      </c>
      <c r="C64" s="1">
        <v>44949</v>
      </c>
      <c r="D64">
        <v>2023</v>
      </c>
      <c r="E64">
        <v>2022</v>
      </c>
      <c r="F64">
        <v>589</v>
      </c>
      <c r="H64" t="s">
        <v>197</v>
      </c>
      <c r="I64">
        <v>130</v>
      </c>
      <c r="J64">
        <v>0</v>
      </c>
      <c r="K64" t="s">
        <v>128</v>
      </c>
      <c r="R64" t="s">
        <v>190</v>
      </c>
      <c r="S64" t="str">
        <f>"30"</f>
        <v>30</v>
      </c>
      <c r="T64" t="s">
        <v>78</v>
      </c>
      <c r="W64" t="s">
        <v>198</v>
      </c>
      <c r="Y64">
        <v>3344</v>
      </c>
      <c r="Z64" t="s">
        <v>192</v>
      </c>
      <c r="AB64" t="str">
        <f t="shared" si="5"/>
        <v>02616630022</v>
      </c>
      <c r="AC64" t="s">
        <v>116</v>
      </c>
      <c r="AD64" t="s">
        <v>193</v>
      </c>
      <c r="AF64">
        <v>2022</v>
      </c>
      <c r="AG64">
        <v>3858</v>
      </c>
      <c r="AH64" t="str">
        <f t="shared" si="4"/>
        <v>1</v>
      </c>
      <c r="AI64" t="str">
        <f>"5220234923"</f>
        <v>5220234923</v>
      </c>
      <c r="AJ64" s="1">
        <v>44914</v>
      </c>
      <c r="AL64" s="2">
        <v>6272.06</v>
      </c>
      <c r="AM64" t="str">
        <f>"8669968404"</f>
        <v>8669968404</v>
      </c>
      <c r="AN64">
        <v>2023</v>
      </c>
      <c r="AO64">
        <v>18</v>
      </c>
      <c r="AP64" s="2">
        <v>6272.06</v>
      </c>
      <c r="AQ64">
        <v>0</v>
      </c>
      <c r="AR64" s="2">
        <v>1713.41</v>
      </c>
      <c r="AS64" t="s">
        <v>194</v>
      </c>
      <c r="AT64">
        <v>5696.11</v>
      </c>
      <c r="AU64">
        <v>569.61</v>
      </c>
      <c r="AV64">
        <v>2023</v>
      </c>
      <c r="AW64">
        <v>14</v>
      </c>
      <c r="AX64">
        <v>670</v>
      </c>
      <c r="AY64">
        <v>0</v>
      </c>
      <c r="AZ64" t="s">
        <v>199</v>
      </c>
      <c r="BA64">
        <v>6272.06</v>
      </c>
      <c r="BB64" s="1">
        <v>44949</v>
      </c>
    </row>
    <row r="65" spans="1:54" x14ac:dyDescent="0.25">
      <c r="A65">
        <v>2023</v>
      </c>
      <c r="B65">
        <v>38</v>
      </c>
      <c r="C65" s="1">
        <v>44949</v>
      </c>
      <c r="D65">
        <v>2023</v>
      </c>
      <c r="E65">
        <v>2022</v>
      </c>
      <c r="F65">
        <v>589</v>
      </c>
      <c r="H65" t="s">
        <v>197</v>
      </c>
      <c r="I65">
        <v>130</v>
      </c>
      <c r="J65">
        <v>0</v>
      </c>
      <c r="K65" t="s">
        <v>128</v>
      </c>
      <c r="R65" t="s">
        <v>190</v>
      </c>
      <c r="S65" t="str">
        <f>"30"</f>
        <v>30</v>
      </c>
      <c r="T65" t="s">
        <v>78</v>
      </c>
      <c r="W65" t="s">
        <v>198</v>
      </c>
      <c r="Y65">
        <v>3344</v>
      </c>
      <c r="Z65" t="s">
        <v>192</v>
      </c>
      <c r="AB65" t="str">
        <f t="shared" si="5"/>
        <v>02616630022</v>
      </c>
      <c r="AC65" t="s">
        <v>116</v>
      </c>
      <c r="AD65" t="s">
        <v>193</v>
      </c>
      <c r="AF65">
        <v>2022</v>
      </c>
      <c r="AG65">
        <v>3871</v>
      </c>
      <c r="AH65" t="str">
        <f t="shared" si="4"/>
        <v>1</v>
      </c>
      <c r="AI65" t="str">
        <f>"5220234933"</f>
        <v>5220234933</v>
      </c>
      <c r="AJ65" s="1">
        <v>44914</v>
      </c>
      <c r="AL65" s="2">
        <v>9139.77</v>
      </c>
      <c r="AM65" t="str">
        <f>"8670056922"</f>
        <v>8670056922</v>
      </c>
      <c r="AN65">
        <v>2023</v>
      </c>
      <c r="AO65">
        <v>18</v>
      </c>
      <c r="AP65" s="2">
        <v>9139.77</v>
      </c>
      <c r="AQ65">
        <v>0</v>
      </c>
      <c r="AR65" s="2">
        <v>1713.41</v>
      </c>
      <c r="AS65" t="s">
        <v>194</v>
      </c>
      <c r="AT65">
        <v>8300.11</v>
      </c>
      <c r="AU65">
        <v>830.01</v>
      </c>
      <c r="AV65">
        <v>2023</v>
      </c>
      <c r="AW65">
        <v>14</v>
      </c>
      <c r="AX65">
        <v>670</v>
      </c>
      <c r="AY65">
        <v>0</v>
      </c>
      <c r="AZ65" t="s">
        <v>199</v>
      </c>
      <c r="BA65">
        <v>9139.77</v>
      </c>
      <c r="BB65" s="1">
        <v>44949</v>
      </c>
    </row>
    <row r="66" spans="1:54" x14ac:dyDescent="0.25">
      <c r="A66">
        <v>2023</v>
      </c>
      <c r="B66">
        <v>39</v>
      </c>
      <c r="C66" s="1">
        <v>44949</v>
      </c>
      <c r="D66">
        <v>2023</v>
      </c>
      <c r="E66">
        <v>2022</v>
      </c>
      <c r="F66">
        <v>720</v>
      </c>
      <c r="H66" t="s">
        <v>200</v>
      </c>
      <c r="I66">
        <v>130</v>
      </c>
      <c r="J66">
        <v>0</v>
      </c>
      <c r="K66" t="s">
        <v>128</v>
      </c>
      <c r="R66" t="s">
        <v>190</v>
      </c>
      <c r="S66" t="str">
        <f t="shared" ref="S66:S97" si="6">"31"</f>
        <v>31</v>
      </c>
      <c r="T66" t="s">
        <v>122</v>
      </c>
      <c r="W66" t="s">
        <v>198</v>
      </c>
      <c r="Y66">
        <v>3344</v>
      </c>
      <c r="Z66" t="s">
        <v>192</v>
      </c>
      <c r="AB66" t="str">
        <f t="shared" si="5"/>
        <v>02616630022</v>
      </c>
      <c r="AC66" t="s">
        <v>116</v>
      </c>
      <c r="AD66" t="s">
        <v>193</v>
      </c>
      <c r="AF66">
        <v>2022</v>
      </c>
      <c r="AG66">
        <v>3900</v>
      </c>
      <c r="AH66" t="str">
        <f t="shared" si="4"/>
        <v>1</v>
      </c>
      <c r="AI66" t="str">
        <f>"5220235046"</f>
        <v>5220235046</v>
      </c>
      <c r="AJ66" s="1">
        <v>44914</v>
      </c>
      <c r="AL66" s="2">
        <v>1421.91</v>
      </c>
      <c r="AM66" t="str">
        <f>"8669826341"</f>
        <v>8669826341</v>
      </c>
      <c r="AN66">
        <v>2023</v>
      </c>
      <c r="AO66">
        <v>19</v>
      </c>
      <c r="AP66" s="2">
        <v>1421.91</v>
      </c>
      <c r="AQ66">
        <v>0</v>
      </c>
      <c r="AR66" s="2">
        <v>11297.11</v>
      </c>
      <c r="AS66" t="s">
        <v>194</v>
      </c>
      <c r="AT66">
        <v>1291.42</v>
      </c>
      <c r="AU66">
        <v>129.13999999999999</v>
      </c>
      <c r="AV66">
        <v>2023</v>
      </c>
      <c r="AW66">
        <v>15</v>
      </c>
      <c r="AX66">
        <v>670</v>
      </c>
      <c r="AY66">
        <v>0</v>
      </c>
      <c r="AZ66" t="s">
        <v>201</v>
      </c>
      <c r="BA66">
        <v>1421.91</v>
      </c>
      <c r="BB66" s="1">
        <v>44949</v>
      </c>
    </row>
    <row r="67" spans="1:54" x14ac:dyDescent="0.25">
      <c r="A67">
        <v>2023</v>
      </c>
      <c r="B67">
        <v>39</v>
      </c>
      <c r="C67" s="1">
        <v>44949</v>
      </c>
      <c r="D67">
        <v>2023</v>
      </c>
      <c r="E67">
        <v>2022</v>
      </c>
      <c r="F67">
        <v>720</v>
      </c>
      <c r="H67" t="s">
        <v>200</v>
      </c>
      <c r="I67">
        <v>130</v>
      </c>
      <c r="J67">
        <v>0</v>
      </c>
      <c r="K67" t="s">
        <v>128</v>
      </c>
      <c r="R67" t="s">
        <v>190</v>
      </c>
      <c r="S67" t="str">
        <f t="shared" si="6"/>
        <v>31</v>
      </c>
      <c r="T67" t="s">
        <v>122</v>
      </c>
      <c r="W67" t="s">
        <v>198</v>
      </c>
      <c r="Y67">
        <v>3344</v>
      </c>
      <c r="Z67" t="s">
        <v>192</v>
      </c>
      <c r="AB67" t="str">
        <f t="shared" si="5"/>
        <v>02616630022</v>
      </c>
      <c r="AC67" t="s">
        <v>116</v>
      </c>
      <c r="AD67" t="s">
        <v>193</v>
      </c>
      <c r="AF67">
        <v>2022</v>
      </c>
      <c r="AG67">
        <v>3828</v>
      </c>
      <c r="AH67" t="str">
        <f t="shared" si="4"/>
        <v>1</v>
      </c>
      <c r="AI67" t="str">
        <f>"5220235010"</f>
        <v>5220235010</v>
      </c>
      <c r="AJ67" s="1">
        <v>44914</v>
      </c>
      <c r="AL67" s="2">
        <v>3960.1</v>
      </c>
      <c r="AM67" t="str">
        <f>"8669825625"</f>
        <v>8669825625</v>
      </c>
      <c r="AN67">
        <v>2023</v>
      </c>
      <c r="AO67">
        <v>19</v>
      </c>
      <c r="AP67" s="2">
        <v>3960.1</v>
      </c>
      <c r="AQ67">
        <v>0</v>
      </c>
      <c r="AR67" s="2">
        <v>11297.11</v>
      </c>
      <c r="AS67" t="s">
        <v>194</v>
      </c>
      <c r="AT67">
        <v>3596.68</v>
      </c>
      <c r="AU67">
        <v>359.67</v>
      </c>
      <c r="AV67">
        <v>2023</v>
      </c>
      <c r="AW67">
        <v>15</v>
      </c>
      <c r="AX67">
        <v>670</v>
      </c>
      <c r="AY67">
        <v>0</v>
      </c>
      <c r="AZ67" t="s">
        <v>201</v>
      </c>
      <c r="BA67">
        <v>3960.1</v>
      </c>
      <c r="BB67" s="1">
        <v>44949</v>
      </c>
    </row>
    <row r="68" spans="1:54" x14ac:dyDescent="0.25">
      <c r="A68">
        <v>2023</v>
      </c>
      <c r="B68">
        <v>39</v>
      </c>
      <c r="C68" s="1">
        <v>44949</v>
      </c>
      <c r="D68">
        <v>2023</v>
      </c>
      <c r="E68">
        <v>2022</v>
      </c>
      <c r="F68">
        <v>720</v>
      </c>
      <c r="H68" t="s">
        <v>200</v>
      </c>
      <c r="I68">
        <v>130</v>
      </c>
      <c r="J68">
        <v>0</v>
      </c>
      <c r="K68" t="s">
        <v>128</v>
      </c>
      <c r="R68" t="s">
        <v>190</v>
      </c>
      <c r="S68" t="str">
        <f t="shared" si="6"/>
        <v>31</v>
      </c>
      <c r="T68" t="s">
        <v>122</v>
      </c>
      <c r="W68" t="s">
        <v>198</v>
      </c>
      <c r="Y68">
        <v>3344</v>
      </c>
      <c r="Z68" t="s">
        <v>192</v>
      </c>
      <c r="AB68" t="str">
        <f t="shared" si="5"/>
        <v>02616630022</v>
      </c>
      <c r="AC68" t="s">
        <v>116</v>
      </c>
      <c r="AD68" t="s">
        <v>193</v>
      </c>
      <c r="AF68">
        <v>2022</v>
      </c>
      <c r="AG68">
        <v>3829</v>
      </c>
      <c r="AH68" t="str">
        <f t="shared" ref="AH68:AH99" si="7">"1"</f>
        <v>1</v>
      </c>
      <c r="AI68" t="str">
        <f>"5220235062"</f>
        <v>5220235062</v>
      </c>
      <c r="AJ68" s="1">
        <v>44914</v>
      </c>
      <c r="AL68">
        <v>22.37</v>
      </c>
      <c r="AM68" t="str">
        <f>"8669828316"</f>
        <v>8669828316</v>
      </c>
      <c r="AN68">
        <v>2023</v>
      </c>
      <c r="AO68">
        <v>19</v>
      </c>
      <c r="AP68">
        <v>22.37</v>
      </c>
      <c r="AQ68">
        <v>0</v>
      </c>
      <c r="AR68" s="2">
        <v>11297.11</v>
      </c>
      <c r="AS68" t="s">
        <v>194</v>
      </c>
      <c r="AT68">
        <v>20.3</v>
      </c>
      <c r="AU68">
        <v>2.0299999999999998</v>
      </c>
      <c r="AV68">
        <v>2023</v>
      </c>
      <c r="AW68">
        <v>15</v>
      </c>
      <c r="AX68">
        <v>670</v>
      </c>
      <c r="AY68">
        <v>0</v>
      </c>
      <c r="AZ68" t="s">
        <v>201</v>
      </c>
      <c r="BA68">
        <v>22.37</v>
      </c>
      <c r="BB68" s="1">
        <v>44949</v>
      </c>
    </row>
    <row r="69" spans="1:54" x14ac:dyDescent="0.25">
      <c r="A69">
        <v>2023</v>
      </c>
      <c r="B69">
        <v>39</v>
      </c>
      <c r="C69" s="1">
        <v>44949</v>
      </c>
      <c r="D69">
        <v>2023</v>
      </c>
      <c r="E69">
        <v>2022</v>
      </c>
      <c r="F69">
        <v>720</v>
      </c>
      <c r="H69" t="s">
        <v>200</v>
      </c>
      <c r="I69">
        <v>130</v>
      </c>
      <c r="J69">
        <v>0</v>
      </c>
      <c r="K69" t="s">
        <v>128</v>
      </c>
      <c r="R69" t="s">
        <v>190</v>
      </c>
      <c r="S69" t="str">
        <f t="shared" si="6"/>
        <v>31</v>
      </c>
      <c r="T69" t="s">
        <v>122</v>
      </c>
      <c r="W69" t="s">
        <v>198</v>
      </c>
      <c r="Y69">
        <v>3344</v>
      </c>
      <c r="Z69" t="s">
        <v>192</v>
      </c>
      <c r="AB69" t="str">
        <f t="shared" si="5"/>
        <v>02616630022</v>
      </c>
      <c r="AC69" t="s">
        <v>116</v>
      </c>
      <c r="AD69" t="s">
        <v>193</v>
      </c>
      <c r="AF69">
        <v>2022</v>
      </c>
      <c r="AG69">
        <v>3830</v>
      </c>
      <c r="AH69" t="str">
        <f t="shared" si="7"/>
        <v>1</v>
      </c>
      <c r="AI69" t="str">
        <f>"5220235064"</f>
        <v>5220235064</v>
      </c>
      <c r="AJ69" s="1">
        <v>44914</v>
      </c>
      <c r="AL69">
        <v>54.1</v>
      </c>
      <c r="AM69" t="str">
        <f>"8669807603"</f>
        <v>8669807603</v>
      </c>
      <c r="AN69">
        <v>2023</v>
      </c>
      <c r="AO69">
        <v>19</v>
      </c>
      <c r="AP69">
        <v>54.1</v>
      </c>
      <c r="AQ69">
        <v>0</v>
      </c>
      <c r="AR69" s="2">
        <v>11297.11</v>
      </c>
      <c r="AS69" t="s">
        <v>194</v>
      </c>
      <c r="AT69">
        <v>49.12</v>
      </c>
      <c r="AU69">
        <v>4.91</v>
      </c>
      <c r="AV69">
        <v>2023</v>
      </c>
      <c r="AW69">
        <v>15</v>
      </c>
      <c r="AX69">
        <v>670</v>
      </c>
      <c r="AY69">
        <v>0</v>
      </c>
      <c r="AZ69" t="s">
        <v>201</v>
      </c>
      <c r="BA69">
        <v>54.1</v>
      </c>
      <c r="BB69" s="1">
        <v>44949</v>
      </c>
    </row>
    <row r="70" spans="1:54" x14ac:dyDescent="0.25">
      <c r="A70">
        <v>2023</v>
      </c>
      <c r="B70">
        <v>39</v>
      </c>
      <c r="C70" s="1">
        <v>44949</v>
      </c>
      <c r="D70">
        <v>2023</v>
      </c>
      <c r="E70">
        <v>2022</v>
      </c>
      <c r="F70">
        <v>720</v>
      </c>
      <c r="H70" t="s">
        <v>200</v>
      </c>
      <c r="I70">
        <v>130</v>
      </c>
      <c r="J70">
        <v>0</v>
      </c>
      <c r="K70" t="s">
        <v>128</v>
      </c>
      <c r="R70" t="s">
        <v>190</v>
      </c>
      <c r="S70" t="str">
        <f t="shared" si="6"/>
        <v>31</v>
      </c>
      <c r="T70" t="s">
        <v>122</v>
      </c>
      <c r="W70" t="s">
        <v>198</v>
      </c>
      <c r="Y70">
        <v>3344</v>
      </c>
      <c r="Z70" t="s">
        <v>192</v>
      </c>
      <c r="AB70" t="str">
        <f t="shared" si="5"/>
        <v>02616630022</v>
      </c>
      <c r="AC70" t="s">
        <v>116</v>
      </c>
      <c r="AD70" t="s">
        <v>193</v>
      </c>
      <c r="AF70">
        <v>2022</v>
      </c>
      <c r="AG70">
        <v>3831</v>
      </c>
      <c r="AH70" t="str">
        <f t="shared" si="7"/>
        <v>1</v>
      </c>
      <c r="AI70" t="str">
        <f>"5220235069"</f>
        <v>5220235069</v>
      </c>
      <c r="AJ70" s="1">
        <v>44914</v>
      </c>
      <c r="AL70">
        <v>24.37</v>
      </c>
      <c r="AM70" t="str">
        <f>"8669818304"</f>
        <v>8669818304</v>
      </c>
      <c r="AN70">
        <v>2023</v>
      </c>
      <c r="AO70">
        <v>19</v>
      </c>
      <c r="AP70">
        <v>24.37</v>
      </c>
      <c r="AQ70">
        <v>0</v>
      </c>
      <c r="AR70" s="2">
        <v>11297.11</v>
      </c>
      <c r="AS70" t="s">
        <v>177</v>
      </c>
      <c r="AT70">
        <v>19.97</v>
      </c>
      <c r="AU70">
        <v>4.3899999999999997</v>
      </c>
      <c r="AV70">
        <v>2023</v>
      </c>
      <c r="AW70">
        <v>15</v>
      </c>
      <c r="AX70">
        <v>670</v>
      </c>
      <c r="AY70">
        <v>0</v>
      </c>
      <c r="AZ70" t="s">
        <v>201</v>
      </c>
      <c r="BA70">
        <v>24.37</v>
      </c>
      <c r="BB70" s="1">
        <v>44949</v>
      </c>
    </row>
    <row r="71" spans="1:54" x14ac:dyDescent="0.25">
      <c r="A71">
        <v>2023</v>
      </c>
      <c r="B71">
        <v>39</v>
      </c>
      <c r="C71" s="1">
        <v>44949</v>
      </c>
      <c r="D71">
        <v>2023</v>
      </c>
      <c r="E71">
        <v>2022</v>
      </c>
      <c r="F71">
        <v>720</v>
      </c>
      <c r="H71" t="s">
        <v>200</v>
      </c>
      <c r="I71">
        <v>130</v>
      </c>
      <c r="J71">
        <v>0</v>
      </c>
      <c r="K71" t="s">
        <v>128</v>
      </c>
      <c r="R71" t="s">
        <v>190</v>
      </c>
      <c r="S71" t="str">
        <f t="shared" si="6"/>
        <v>31</v>
      </c>
      <c r="T71" t="s">
        <v>122</v>
      </c>
      <c r="W71" t="s">
        <v>198</v>
      </c>
      <c r="Y71">
        <v>3344</v>
      </c>
      <c r="Z71" t="s">
        <v>192</v>
      </c>
      <c r="AB71" t="str">
        <f t="shared" ref="AB71:AB102" si="8">"02616630022"</f>
        <v>02616630022</v>
      </c>
      <c r="AC71" t="s">
        <v>116</v>
      </c>
      <c r="AD71" t="s">
        <v>193</v>
      </c>
      <c r="AF71">
        <v>2022</v>
      </c>
      <c r="AG71">
        <v>3832</v>
      </c>
      <c r="AH71" t="str">
        <f t="shared" si="7"/>
        <v>1</v>
      </c>
      <c r="AI71" t="str">
        <f>"5220235057"</f>
        <v>5220235057</v>
      </c>
      <c r="AJ71" s="1">
        <v>44914</v>
      </c>
      <c r="AL71">
        <v>216.67</v>
      </c>
      <c r="AM71" t="str">
        <f>"8669816507"</f>
        <v>8669816507</v>
      </c>
      <c r="AN71">
        <v>2023</v>
      </c>
      <c r="AO71">
        <v>19</v>
      </c>
      <c r="AP71">
        <v>216.67</v>
      </c>
      <c r="AQ71">
        <v>0</v>
      </c>
      <c r="AR71" s="2">
        <v>11297.11</v>
      </c>
      <c r="AS71" t="s">
        <v>194</v>
      </c>
      <c r="AT71">
        <v>196.87</v>
      </c>
      <c r="AU71">
        <v>19.690000000000001</v>
      </c>
      <c r="AV71">
        <v>2023</v>
      </c>
      <c r="AW71">
        <v>15</v>
      </c>
      <c r="AX71">
        <v>670</v>
      </c>
      <c r="AY71">
        <v>0</v>
      </c>
      <c r="AZ71" t="s">
        <v>201</v>
      </c>
      <c r="BA71">
        <v>216.67</v>
      </c>
      <c r="BB71" s="1">
        <v>44949</v>
      </c>
    </row>
    <row r="72" spans="1:54" x14ac:dyDescent="0.25">
      <c r="A72">
        <v>2023</v>
      </c>
      <c r="B72">
        <v>39</v>
      </c>
      <c r="C72" s="1">
        <v>44949</v>
      </c>
      <c r="D72">
        <v>2023</v>
      </c>
      <c r="E72">
        <v>2022</v>
      </c>
      <c r="F72">
        <v>720</v>
      </c>
      <c r="H72" t="s">
        <v>200</v>
      </c>
      <c r="I72">
        <v>130</v>
      </c>
      <c r="J72">
        <v>0</v>
      </c>
      <c r="K72" t="s">
        <v>128</v>
      </c>
      <c r="R72" t="s">
        <v>190</v>
      </c>
      <c r="S72" t="str">
        <f t="shared" si="6"/>
        <v>31</v>
      </c>
      <c r="T72" t="s">
        <v>122</v>
      </c>
      <c r="W72" t="s">
        <v>198</v>
      </c>
      <c r="Y72">
        <v>3344</v>
      </c>
      <c r="Z72" t="s">
        <v>192</v>
      </c>
      <c r="AB72" t="str">
        <f t="shared" si="8"/>
        <v>02616630022</v>
      </c>
      <c r="AC72" t="s">
        <v>116</v>
      </c>
      <c r="AD72" t="s">
        <v>193</v>
      </c>
      <c r="AF72">
        <v>2022</v>
      </c>
      <c r="AG72">
        <v>3833</v>
      </c>
      <c r="AH72" t="str">
        <f t="shared" si="7"/>
        <v>1</v>
      </c>
      <c r="AI72" t="str">
        <f>"5220235053"</f>
        <v>5220235053</v>
      </c>
      <c r="AJ72" s="1">
        <v>44914</v>
      </c>
      <c r="AL72">
        <v>10.42</v>
      </c>
      <c r="AM72" t="str">
        <f>"8669835703"</f>
        <v>8669835703</v>
      </c>
      <c r="AN72">
        <v>2023</v>
      </c>
      <c r="AO72">
        <v>19</v>
      </c>
      <c r="AP72">
        <v>10.42</v>
      </c>
      <c r="AQ72">
        <v>0</v>
      </c>
      <c r="AR72" s="2">
        <v>11297.11</v>
      </c>
      <c r="AS72" t="s">
        <v>194</v>
      </c>
      <c r="AT72">
        <v>9.4499999999999993</v>
      </c>
      <c r="AU72">
        <v>0.95</v>
      </c>
      <c r="AV72">
        <v>2023</v>
      </c>
      <c r="AW72">
        <v>15</v>
      </c>
      <c r="AX72">
        <v>670</v>
      </c>
      <c r="AY72">
        <v>0</v>
      </c>
      <c r="AZ72" t="s">
        <v>201</v>
      </c>
      <c r="BA72">
        <v>10.42</v>
      </c>
      <c r="BB72" s="1">
        <v>44949</v>
      </c>
    </row>
    <row r="73" spans="1:54" x14ac:dyDescent="0.25">
      <c r="A73">
        <v>2023</v>
      </c>
      <c r="B73">
        <v>39</v>
      </c>
      <c r="C73" s="1">
        <v>44949</v>
      </c>
      <c r="D73">
        <v>2023</v>
      </c>
      <c r="E73">
        <v>2022</v>
      </c>
      <c r="F73">
        <v>720</v>
      </c>
      <c r="H73" t="s">
        <v>200</v>
      </c>
      <c r="I73">
        <v>130</v>
      </c>
      <c r="J73">
        <v>0</v>
      </c>
      <c r="K73" t="s">
        <v>128</v>
      </c>
      <c r="R73" t="s">
        <v>190</v>
      </c>
      <c r="S73" t="str">
        <f t="shared" si="6"/>
        <v>31</v>
      </c>
      <c r="T73" t="s">
        <v>122</v>
      </c>
      <c r="W73" t="s">
        <v>198</v>
      </c>
      <c r="Y73">
        <v>3344</v>
      </c>
      <c r="Z73" t="s">
        <v>192</v>
      </c>
      <c r="AB73" t="str">
        <f t="shared" si="8"/>
        <v>02616630022</v>
      </c>
      <c r="AC73" t="s">
        <v>116</v>
      </c>
      <c r="AD73" t="s">
        <v>193</v>
      </c>
      <c r="AF73">
        <v>2022</v>
      </c>
      <c r="AG73">
        <v>3835</v>
      </c>
      <c r="AH73" t="str">
        <f t="shared" si="7"/>
        <v>1</v>
      </c>
      <c r="AI73" t="str">
        <f>"5220235065"</f>
        <v>5220235065</v>
      </c>
      <c r="AJ73" s="1">
        <v>44914</v>
      </c>
      <c r="AL73">
        <v>129.37</v>
      </c>
      <c r="AM73" t="str">
        <f>"8669843514"</f>
        <v>8669843514</v>
      </c>
      <c r="AN73">
        <v>2023</v>
      </c>
      <c r="AO73">
        <v>19</v>
      </c>
      <c r="AP73">
        <v>129.37</v>
      </c>
      <c r="AQ73">
        <v>0</v>
      </c>
      <c r="AR73" s="2">
        <v>11297.11</v>
      </c>
      <c r="AS73" t="s">
        <v>194</v>
      </c>
      <c r="AT73">
        <v>117.34</v>
      </c>
      <c r="AU73">
        <v>11.73</v>
      </c>
      <c r="AV73">
        <v>2023</v>
      </c>
      <c r="AW73">
        <v>15</v>
      </c>
      <c r="AX73">
        <v>670</v>
      </c>
      <c r="AY73">
        <v>0</v>
      </c>
      <c r="AZ73" t="s">
        <v>201</v>
      </c>
      <c r="BA73">
        <v>129.37</v>
      </c>
      <c r="BB73" s="1">
        <v>44949</v>
      </c>
    </row>
    <row r="74" spans="1:54" x14ac:dyDescent="0.25">
      <c r="A74">
        <v>2023</v>
      </c>
      <c r="B74">
        <v>39</v>
      </c>
      <c r="C74" s="1">
        <v>44949</v>
      </c>
      <c r="D74">
        <v>2023</v>
      </c>
      <c r="E74">
        <v>2022</v>
      </c>
      <c r="F74">
        <v>720</v>
      </c>
      <c r="H74" t="s">
        <v>200</v>
      </c>
      <c r="I74">
        <v>130</v>
      </c>
      <c r="J74">
        <v>0</v>
      </c>
      <c r="K74" t="s">
        <v>128</v>
      </c>
      <c r="R74" t="s">
        <v>190</v>
      </c>
      <c r="S74" t="str">
        <f t="shared" si="6"/>
        <v>31</v>
      </c>
      <c r="T74" t="s">
        <v>122</v>
      </c>
      <c r="W74" t="s">
        <v>198</v>
      </c>
      <c r="Y74">
        <v>3344</v>
      </c>
      <c r="Z74" t="s">
        <v>192</v>
      </c>
      <c r="AB74" t="str">
        <f t="shared" si="8"/>
        <v>02616630022</v>
      </c>
      <c r="AC74" t="s">
        <v>116</v>
      </c>
      <c r="AD74" t="s">
        <v>193</v>
      </c>
      <c r="AF74">
        <v>2022</v>
      </c>
      <c r="AG74">
        <v>3836</v>
      </c>
      <c r="AH74" t="str">
        <f t="shared" si="7"/>
        <v>1</v>
      </c>
      <c r="AI74" t="str">
        <f>"5220235012"</f>
        <v>5220235012</v>
      </c>
      <c r="AJ74" s="1">
        <v>44914</v>
      </c>
      <c r="AL74">
        <v>920.44</v>
      </c>
      <c r="AM74" t="str">
        <f>"8669803913"</f>
        <v>8669803913</v>
      </c>
      <c r="AN74">
        <v>2023</v>
      </c>
      <c r="AO74">
        <v>19</v>
      </c>
      <c r="AP74">
        <v>920.44</v>
      </c>
      <c r="AQ74">
        <v>0</v>
      </c>
      <c r="AR74" s="2">
        <v>11297.11</v>
      </c>
      <c r="AS74" t="s">
        <v>194</v>
      </c>
      <c r="AT74">
        <v>827.12</v>
      </c>
      <c r="AU74">
        <v>82.71</v>
      </c>
      <c r="AV74">
        <v>2023</v>
      </c>
      <c r="AW74">
        <v>15</v>
      </c>
      <c r="AX74">
        <v>670</v>
      </c>
      <c r="AY74">
        <v>0</v>
      </c>
      <c r="AZ74" t="s">
        <v>201</v>
      </c>
      <c r="BA74">
        <v>920.44</v>
      </c>
      <c r="BB74" s="1">
        <v>44949</v>
      </c>
    </row>
    <row r="75" spans="1:54" x14ac:dyDescent="0.25">
      <c r="A75">
        <v>2023</v>
      </c>
      <c r="B75">
        <v>39</v>
      </c>
      <c r="C75" s="1">
        <v>44949</v>
      </c>
      <c r="D75">
        <v>2023</v>
      </c>
      <c r="E75">
        <v>2022</v>
      </c>
      <c r="F75">
        <v>720</v>
      </c>
      <c r="H75" t="s">
        <v>200</v>
      </c>
      <c r="I75">
        <v>130</v>
      </c>
      <c r="J75">
        <v>0</v>
      </c>
      <c r="K75" t="s">
        <v>128</v>
      </c>
      <c r="R75" t="s">
        <v>190</v>
      </c>
      <c r="S75" t="str">
        <f t="shared" si="6"/>
        <v>31</v>
      </c>
      <c r="T75" t="s">
        <v>122</v>
      </c>
      <c r="W75" t="s">
        <v>198</v>
      </c>
      <c r="Y75">
        <v>3344</v>
      </c>
      <c r="Z75" t="s">
        <v>192</v>
      </c>
      <c r="AB75" t="str">
        <f t="shared" si="8"/>
        <v>02616630022</v>
      </c>
      <c r="AC75" t="s">
        <v>116</v>
      </c>
      <c r="AD75" t="s">
        <v>193</v>
      </c>
      <c r="AF75">
        <v>2022</v>
      </c>
      <c r="AG75">
        <v>3837</v>
      </c>
      <c r="AH75" t="str">
        <f t="shared" si="7"/>
        <v>1</v>
      </c>
      <c r="AI75" t="str">
        <f>"5220235048"</f>
        <v>5220235048</v>
      </c>
      <c r="AJ75" s="1">
        <v>44914</v>
      </c>
      <c r="AL75" s="2">
        <v>1235.1199999999999</v>
      </c>
      <c r="AM75" t="str">
        <f>"8669813901"</f>
        <v>8669813901</v>
      </c>
      <c r="AN75">
        <v>2023</v>
      </c>
      <c r="AO75">
        <v>19</v>
      </c>
      <c r="AP75" s="2">
        <v>1235.1199999999999</v>
      </c>
      <c r="AQ75">
        <v>0</v>
      </c>
      <c r="AR75" s="2">
        <v>11297.11</v>
      </c>
      <c r="AS75" t="s">
        <v>194</v>
      </c>
      <c r="AT75">
        <v>1120.55</v>
      </c>
      <c r="AU75">
        <v>112.06</v>
      </c>
      <c r="AV75">
        <v>2023</v>
      </c>
      <c r="AW75">
        <v>15</v>
      </c>
      <c r="AX75">
        <v>670</v>
      </c>
      <c r="AY75">
        <v>0</v>
      </c>
      <c r="AZ75" t="s">
        <v>201</v>
      </c>
      <c r="BA75">
        <v>1235.1199999999999</v>
      </c>
      <c r="BB75" s="1">
        <v>44949</v>
      </c>
    </row>
    <row r="76" spans="1:54" x14ac:dyDescent="0.25">
      <c r="A76">
        <v>2023</v>
      </c>
      <c r="B76">
        <v>39</v>
      </c>
      <c r="C76" s="1">
        <v>44949</v>
      </c>
      <c r="D76">
        <v>2023</v>
      </c>
      <c r="E76">
        <v>2022</v>
      </c>
      <c r="F76">
        <v>720</v>
      </c>
      <c r="H76" t="s">
        <v>200</v>
      </c>
      <c r="I76">
        <v>130</v>
      </c>
      <c r="J76">
        <v>0</v>
      </c>
      <c r="K76" t="s">
        <v>128</v>
      </c>
      <c r="R76" t="s">
        <v>190</v>
      </c>
      <c r="S76" t="str">
        <f t="shared" si="6"/>
        <v>31</v>
      </c>
      <c r="T76" t="s">
        <v>122</v>
      </c>
      <c r="W76" t="s">
        <v>198</v>
      </c>
      <c r="Y76">
        <v>3344</v>
      </c>
      <c r="Z76" t="s">
        <v>192</v>
      </c>
      <c r="AB76" t="str">
        <f t="shared" si="8"/>
        <v>02616630022</v>
      </c>
      <c r="AC76" t="s">
        <v>116</v>
      </c>
      <c r="AD76" t="s">
        <v>193</v>
      </c>
      <c r="AF76">
        <v>2022</v>
      </c>
      <c r="AG76">
        <v>3838</v>
      </c>
      <c r="AH76" t="str">
        <f t="shared" si="7"/>
        <v>1</v>
      </c>
      <c r="AI76" t="str">
        <f>"5220235056"</f>
        <v>5220235056</v>
      </c>
      <c r="AJ76" s="1">
        <v>44914</v>
      </c>
      <c r="AL76">
        <v>90.01</v>
      </c>
      <c r="AM76" t="str">
        <f>"8669811110"</f>
        <v>8669811110</v>
      </c>
      <c r="AN76">
        <v>2023</v>
      </c>
      <c r="AO76">
        <v>19</v>
      </c>
      <c r="AP76">
        <v>90.01</v>
      </c>
      <c r="AQ76">
        <v>0</v>
      </c>
      <c r="AR76" s="2">
        <v>11297.11</v>
      </c>
      <c r="AS76" t="s">
        <v>194</v>
      </c>
      <c r="AT76">
        <v>81.77</v>
      </c>
      <c r="AU76">
        <v>8.18</v>
      </c>
      <c r="AV76">
        <v>2023</v>
      </c>
      <c r="AW76">
        <v>15</v>
      </c>
      <c r="AX76">
        <v>670</v>
      </c>
      <c r="AY76">
        <v>0</v>
      </c>
      <c r="AZ76" t="s">
        <v>201</v>
      </c>
      <c r="BA76">
        <v>90.01</v>
      </c>
      <c r="BB76" s="1">
        <v>44949</v>
      </c>
    </row>
    <row r="77" spans="1:54" x14ac:dyDescent="0.25">
      <c r="A77">
        <v>2023</v>
      </c>
      <c r="B77">
        <v>39</v>
      </c>
      <c r="C77" s="1">
        <v>44949</v>
      </c>
      <c r="D77">
        <v>2023</v>
      </c>
      <c r="E77">
        <v>2022</v>
      </c>
      <c r="F77">
        <v>720</v>
      </c>
      <c r="H77" t="s">
        <v>200</v>
      </c>
      <c r="I77">
        <v>130</v>
      </c>
      <c r="J77">
        <v>0</v>
      </c>
      <c r="K77" t="s">
        <v>128</v>
      </c>
      <c r="R77" t="s">
        <v>190</v>
      </c>
      <c r="S77" t="str">
        <f t="shared" si="6"/>
        <v>31</v>
      </c>
      <c r="T77" t="s">
        <v>122</v>
      </c>
      <c r="W77" t="s">
        <v>198</v>
      </c>
      <c r="Y77">
        <v>3344</v>
      </c>
      <c r="Z77" t="s">
        <v>192</v>
      </c>
      <c r="AB77" t="str">
        <f t="shared" si="8"/>
        <v>02616630022</v>
      </c>
      <c r="AC77" t="s">
        <v>116</v>
      </c>
      <c r="AD77" t="s">
        <v>193</v>
      </c>
      <c r="AF77">
        <v>2022</v>
      </c>
      <c r="AG77">
        <v>3839</v>
      </c>
      <c r="AH77" t="str">
        <f t="shared" si="7"/>
        <v>1</v>
      </c>
      <c r="AI77" t="str">
        <f>"5220235029"</f>
        <v>5220235029</v>
      </c>
      <c r="AJ77" s="1">
        <v>44914</v>
      </c>
      <c r="AL77">
        <v>394.86</v>
      </c>
      <c r="AM77" t="str">
        <f>"8669863216"</f>
        <v>8669863216</v>
      </c>
      <c r="AN77">
        <v>2023</v>
      </c>
      <c r="AO77">
        <v>19</v>
      </c>
      <c r="AP77">
        <v>394.86</v>
      </c>
      <c r="AQ77">
        <v>0</v>
      </c>
      <c r="AR77" s="2">
        <v>11297.11</v>
      </c>
      <c r="AS77" t="s">
        <v>194</v>
      </c>
      <c r="AT77">
        <v>358.46</v>
      </c>
      <c r="AU77">
        <v>35.85</v>
      </c>
      <c r="AV77">
        <v>2023</v>
      </c>
      <c r="AW77">
        <v>15</v>
      </c>
      <c r="AX77">
        <v>670</v>
      </c>
      <c r="AY77">
        <v>0</v>
      </c>
      <c r="AZ77" t="s">
        <v>201</v>
      </c>
      <c r="BA77">
        <v>394.86</v>
      </c>
      <c r="BB77" s="1">
        <v>44949</v>
      </c>
    </row>
    <row r="78" spans="1:54" x14ac:dyDescent="0.25">
      <c r="A78">
        <v>2023</v>
      </c>
      <c r="B78">
        <v>39</v>
      </c>
      <c r="C78" s="1">
        <v>44949</v>
      </c>
      <c r="D78">
        <v>2023</v>
      </c>
      <c r="E78">
        <v>2022</v>
      </c>
      <c r="F78">
        <v>720</v>
      </c>
      <c r="H78" t="s">
        <v>200</v>
      </c>
      <c r="I78">
        <v>130</v>
      </c>
      <c r="J78">
        <v>0</v>
      </c>
      <c r="K78" t="s">
        <v>128</v>
      </c>
      <c r="R78" t="s">
        <v>190</v>
      </c>
      <c r="S78" t="str">
        <f t="shared" si="6"/>
        <v>31</v>
      </c>
      <c r="T78" t="s">
        <v>122</v>
      </c>
      <c r="W78" t="s">
        <v>198</v>
      </c>
      <c r="Y78">
        <v>3344</v>
      </c>
      <c r="Z78" t="s">
        <v>192</v>
      </c>
      <c r="AB78" t="str">
        <f t="shared" si="8"/>
        <v>02616630022</v>
      </c>
      <c r="AC78" t="s">
        <v>116</v>
      </c>
      <c r="AD78" t="s">
        <v>193</v>
      </c>
      <c r="AF78">
        <v>2022</v>
      </c>
      <c r="AG78">
        <v>3840</v>
      </c>
      <c r="AH78" t="str">
        <f t="shared" si="7"/>
        <v>1</v>
      </c>
      <c r="AI78" t="str">
        <f>"5220235009"</f>
        <v>5220235009</v>
      </c>
      <c r="AJ78" s="1">
        <v>44914</v>
      </c>
      <c r="AL78" s="2">
        <v>2385.06</v>
      </c>
      <c r="AM78" t="str">
        <f>"8669812802"</f>
        <v>8669812802</v>
      </c>
      <c r="AN78">
        <v>2023</v>
      </c>
      <c r="AO78">
        <v>19</v>
      </c>
      <c r="AP78" s="2">
        <v>2385.06</v>
      </c>
      <c r="AQ78">
        <v>0</v>
      </c>
      <c r="AR78" s="2">
        <v>11297.11</v>
      </c>
      <c r="AS78" t="s">
        <v>194</v>
      </c>
      <c r="AT78">
        <v>2166.14</v>
      </c>
      <c r="AU78">
        <v>216.61</v>
      </c>
      <c r="AV78">
        <v>2023</v>
      </c>
      <c r="AW78">
        <v>15</v>
      </c>
      <c r="AX78">
        <v>670</v>
      </c>
      <c r="AY78">
        <v>0</v>
      </c>
      <c r="AZ78" t="s">
        <v>201</v>
      </c>
      <c r="BA78">
        <v>2385.06</v>
      </c>
      <c r="BB78" s="1">
        <v>44949</v>
      </c>
    </row>
    <row r="79" spans="1:54" x14ac:dyDescent="0.25">
      <c r="A79">
        <v>2023</v>
      </c>
      <c r="B79">
        <v>39</v>
      </c>
      <c r="C79" s="1">
        <v>44949</v>
      </c>
      <c r="D79">
        <v>2023</v>
      </c>
      <c r="E79">
        <v>2022</v>
      </c>
      <c r="F79">
        <v>720</v>
      </c>
      <c r="H79" t="s">
        <v>200</v>
      </c>
      <c r="I79">
        <v>130</v>
      </c>
      <c r="J79">
        <v>0</v>
      </c>
      <c r="K79" t="s">
        <v>128</v>
      </c>
      <c r="R79" t="s">
        <v>190</v>
      </c>
      <c r="S79" t="str">
        <f t="shared" si="6"/>
        <v>31</v>
      </c>
      <c r="T79" t="s">
        <v>122</v>
      </c>
      <c r="W79" t="s">
        <v>198</v>
      </c>
      <c r="Y79">
        <v>3344</v>
      </c>
      <c r="Z79" t="s">
        <v>192</v>
      </c>
      <c r="AB79" t="str">
        <f t="shared" si="8"/>
        <v>02616630022</v>
      </c>
      <c r="AC79" t="s">
        <v>116</v>
      </c>
      <c r="AD79" t="s">
        <v>193</v>
      </c>
      <c r="AF79">
        <v>2022</v>
      </c>
      <c r="AG79">
        <v>3841</v>
      </c>
      <c r="AH79" t="str">
        <f t="shared" si="7"/>
        <v>1</v>
      </c>
      <c r="AI79" t="str">
        <f>"5220235018"</f>
        <v>5220235018</v>
      </c>
      <c r="AJ79" s="1">
        <v>44914</v>
      </c>
      <c r="AL79">
        <v>232.56</v>
      </c>
      <c r="AM79" t="str">
        <f>"8669918309"</f>
        <v>8669918309</v>
      </c>
      <c r="AN79">
        <v>2023</v>
      </c>
      <c r="AO79">
        <v>19</v>
      </c>
      <c r="AP79">
        <v>232.56</v>
      </c>
      <c r="AQ79">
        <v>0</v>
      </c>
      <c r="AR79" s="2">
        <v>11297.11</v>
      </c>
      <c r="AS79" t="s">
        <v>194</v>
      </c>
      <c r="AT79">
        <v>211.29</v>
      </c>
      <c r="AU79">
        <v>21.13</v>
      </c>
      <c r="AV79">
        <v>2023</v>
      </c>
      <c r="AW79">
        <v>15</v>
      </c>
      <c r="AX79">
        <v>670</v>
      </c>
      <c r="AY79">
        <v>0</v>
      </c>
      <c r="AZ79" t="s">
        <v>201</v>
      </c>
      <c r="BA79">
        <v>232.56</v>
      </c>
      <c r="BB79" s="1">
        <v>44949</v>
      </c>
    </row>
    <row r="80" spans="1:54" x14ac:dyDescent="0.25">
      <c r="A80">
        <v>2023</v>
      </c>
      <c r="B80">
        <v>39</v>
      </c>
      <c r="C80" s="1">
        <v>44949</v>
      </c>
      <c r="D80">
        <v>2023</v>
      </c>
      <c r="E80">
        <v>2022</v>
      </c>
      <c r="F80">
        <v>720</v>
      </c>
      <c r="H80" t="s">
        <v>200</v>
      </c>
      <c r="I80">
        <v>130</v>
      </c>
      <c r="J80">
        <v>0</v>
      </c>
      <c r="K80" t="s">
        <v>128</v>
      </c>
      <c r="R80" t="s">
        <v>190</v>
      </c>
      <c r="S80" t="str">
        <f t="shared" si="6"/>
        <v>31</v>
      </c>
      <c r="T80" t="s">
        <v>122</v>
      </c>
      <c r="W80" t="s">
        <v>198</v>
      </c>
      <c r="Y80">
        <v>3344</v>
      </c>
      <c r="Z80" t="s">
        <v>192</v>
      </c>
      <c r="AB80" t="str">
        <f t="shared" si="8"/>
        <v>02616630022</v>
      </c>
      <c r="AC80" t="s">
        <v>116</v>
      </c>
      <c r="AD80" t="s">
        <v>193</v>
      </c>
      <c r="AF80">
        <v>2022</v>
      </c>
      <c r="AG80">
        <v>3842</v>
      </c>
      <c r="AH80" t="str">
        <f t="shared" si="7"/>
        <v>1</v>
      </c>
      <c r="AI80" t="str">
        <f>"5220235060"</f>
        <v>5220235060</v>
      </c>
      <c r="AJ80" s="1">
        <v>44914</v>
      </c>
      <c r="AL80">
        <v>51.54</v>
      </c>
      <c r="AM80" t="str">
        <f>"8669857008"</f>
        <v>8669857008</v>
      </c>
      <c r="AN80">
        <v>2023</v>
      </c>
      <c r="AO80">
        <v>19</v>
      </c>
      <c r="AP80">
        <v>51.54</v>
      </c>
      <c r="AQ80">
        <v>0</v>
      </c>
      <c r="AR80" s="2">
        <v>11297.11</v>
      </c>
      <c r="AS80" t="s">
        <v>194</v>
      </c>
      <c r="AT80">
        <v>46.75</v>
      </c>
      <c r="AU80">
        <v>4.68</v>
      </c>
      <c r="AV80">
        <v>2023</v>
      </c>
      <c r="AW80">
        <v>15</v>
      </c>
      <c r="AX80">
        <v>670</v>
      </c>
      <c r="AY80">
        <v>0</v>
      </c>
      <c r="AZ80" t="s">
        <v>201</v>
      </c>
      <c r="BA80">
        <v>51.54</v>
      </c>
      <c r="BB80" s="1">
        <v>44949</v>
      </c>
    </row>
    <row r="81" spans="1:54" x14ac:dyDescent="0.25">
      <c r="A81">
        <v>2023</v>
      </c>
      <c r="B81">
        <v>39</v>
      </c>
      <c r="C81" s="1">
        <v>44949</v>
      </c>
      <c r="D81">
        <v>2023</v>
      </c>
      <c r="E81">
        <v>2022</v>
      </c>
      <c r="F81">
        <v>720</v>
      </c>
      <c r="H81" t="s">
        <v>200</v>
      </c>
      <c r="I81">
        <v>130</v>
      </c>
      <c r="J81">
        <v>0</v>
      </c>
      <c r="K81" t="s">
        <v>128</v>
      </c>
      <c r="R81" t="s">
        <v>190</v>
      </c>
      <c r="S81" t="str">
        <f t="shared" si="6"/>
        <v>31</v>
      </c>
      <c r="T81" t="s">
        <v>122</v>
      </c>
      <c r="W81" t="s">
        <v>198</v>
      </c>
      <c r="Y81">
        <v>3344</v>
      </c>
      <c r="Z81" t="s">
        <v>192</v>
      </c>
      <c r="AB81" t="str">
        <f t="shared" si="8"/>
        <v>02616630022</v>
      </c>
      <c r="AC81" t="s">
        <v>116</v>
      </c>
      <c r="AD81" t="s">
        <v>193</v>
      </c>
      <c r="AF81">
        <v>2022</v>
      </c>
      <c r="AG81">
        <v>3843</v>
      </c>
      <c r="AH81" t="str">
        <f t="shared" si="7"/>
        <v>1</v>
      </c>
      <c r="AI81" t="str">
        <f>"5220235058"</f>
        <v>5220235058</v>
      </c>
      <c r="AJ81" s="1">
        <v>44914</v>
      </c>
      <c r="AL81">
        <v>145.09</v>
      </c>
      <c r="AM81" t="str">
        <f>"8669842405"</f>
        <v>8669842405</v>
      </c>
      <c r="AN81">
        <v>2023</v>
      </c>
      <c r="AO81">
        <v>19</v>
      </c>
      <c r="AP81">
        <v>145.09</v>
      </c>
      <c r="AQ81">
        <v>0</v>
      </c>
      <c r="AR81" s="2">
        <v>11297.11</v>
      </c>
      <c r="AS81" t="s">
        <v>177</v>
      </c>
      <c r="AT81">
        <v>118.7</v>
      </c>
      <c r="AU81">
        <v>26.11</v>
      </c>
      <c r="AV81">
        <v>2023</v>
      </c>
      <c r="AW81">
        <v>15</v>
      </c>
      <c r="AX81">
        <v>670</v>
      </c>
      <c r="AY81">
        <v>0</v>
      </c>
      <c r="AZ81" t="s">
        <v>201</v>
      </c>
      <c r="BA81">
        <v>145.09</v>
      </c>
      <c r="BB81" s="1">
        <v>44949</v>
      </c>
    </row>
    <row r="82" spans="1:54" x14ac:dyDescent="0.25">
      <c r="A82">
        <v>2023</v>
      </c>
      <c r="B82">
        <v>39</v>
      </c>
      <c r="C82" s="1">
        <v>44949</v>
      </c>
      <c r="D82">
        <v>2023</v>
      </c>
      <c r="E82">
        <v>2022</v>
      </c>
      <c r="F82">
        <v>720</v>
      </c>
      <c r="H82" t="s">
        <v>200</v>
      </c>
      <c r="I82">
        <v>130</v>
      </c>
      <c r="J82">
        <v>0</v>
      </c>
      <c r="K82" t="s">
        <v>128</v>
      </c>
      <c r="R82" t="s">
        <v>190</v>
      </c>
      <c r="S82" t="str">
        <f t="shared" si="6"/>
        <v>31</v>
      </c>
      <c r="T82" t="s">
        <v>122</v>
      </c>
      <c r="W82" t="s">
        <v>198</v>
      </c>
      <c r="Y82">
        <v>3344</v>
      </c>
      <c r="Z82" t="s">
        <v>192</v>
      </c>
      <c r="AB82" t="str">
        <f t="shared" si="8"/>
        <v>02616630022</v>
      </c>
      <c r="AC82" t="s">
        <v>116</v>
      </c>
      <c r="AD82" t="s">
        <v>193</v>
      </c>
      <c r="AF82">
        <v>2022</v>
      </c>
      <c r="AG82">
        <v>3844</v>
      </c>
      <c r="AH82" t="str">
        <f t="shared" si="7"/>
        <v>1</v>
      </c>
      <c r="AI82" t="str">
        <f>"5220235054"</f>
        <v>5220235054</v>
      </c>
      <c r="AJ82" s="1">
        <v>44914</v>
      </c>
      <c r="AL82">
        <v>50.94</v>
      </c>
      <c r="AM82" t="str">
        <f>"8669887728"</f>
        <v>8669887728</v>
      </c>
      <c r="AN82">
        <v>2023</v>
      </c>
      <c r="AO82">
        <v>19</v>
      </c>
      <c r="AP82">
        <v>50.94</v>
      </c>
      <c r="AQ82">
        <v>0</v>
      </c>
      <c r="AR82" s="2">
        <v>11297.11</v>
      </c>
      <c r="AS82" t="s">
        <v>194</v>
      </c>
      <c r="AT82">
        <v>46.31</v>
      </c>
      <c r="AU82">
        <v>4.63</v>
      </c>
      <c r="AV82">
        <v>2023</v>
      </c>
      <c r="AW82">
        <v>15</v>
      </c>
      <c r="AX82">
        <v>670</v>
      </c>
      <c r="AY82">
        <v>0</v>
      </c>
      <c r="AZ82" t="s">
        <v>201</v>
      </c>
      <c r="BA82">
        <v>50.94</v>
      </c>
      <c r="BB82" s="1">
        <v>44949</v>
      </c>
    </row>
    <row r="83" spans="1:54" x14ac:dyDescent="0.25">
      <c r="A83">
        <v>2023</v>
      </c>
      <c r="B83">
        <v>39</v>
      </c>
      <c r="C83" s="1">
        <v>44949</v>
      </c>
      <c r="D83">
        <v>2023</v>
      </c>
      <c r="E83">
        <v>2022</v>
      </c>
      <c r="F83">
        <v>720</v>
      </c>
      <c r="H83" t="s">
        <v>200</v>
      </c>
      <c r="I83">
        <v>130</v>
      </c>
      <c r="J83">
        <v>0</v>
      </c>
      <c r="K83" t="s">
        <v>128</v>
      </c>
      <c r="R83" t="s">
        <v>190</v>
      </c>
      <c r="S83" t="str">
        <f t="shared" si="6"/>
        <v>31</v>
      </c>
      <c r="T83" t="s">
        <v>122</v>
      </c>
      <c r="W83" t="s">
        <v>198</v>
      </c>
      <c r="Y83">
        <v>3344</v>
      </c>
      <c r="Z83" t="s">
        <v>192</v>
      </c>
      <c r="AB83" t="str">
        <f t="shared" si="8"/>
        <v>02616630022</v>
      </c>
      <c r="AC83" t="s">
        <v>116</v>
      </c>
      <c r="AD83" t="s">
        <v>193</v>
      </c>
      <c r="AF83">
        <v>2022</v>
      </c>
      <c r="AG83">
        <v>3847</v>
      </c>
      <c r="AH83" t="str">
        <f t="shared" si="7"/>
        <v>1</v>
      </c>
      <c r="AI83" t="str">
        <f>"5220235032"</f>
        <v>5220235032</v>
      </c>
      <c r="AJ83" s="1">
        <v>44914</v>
      </c>
      <c r="AL83">
        <v>9.56</v>
      </c>
      <c r="AM83" t="str">
        <f>"8669959618"</f>
        <v>8669959618</v>
      </c>
      <c r="AN83">
        <v>2023</v>
      </c>
      <c r="AO83">
        <v>19</v>
      </c>
      <c r="AP83">
        <v>9.56</v>
      </c>
      <c r="AQ83">
        <v>0</v>
      </c>
      <c r="AR83" s="2">
        <v>11297.11</v>
      </c>
      <c r="AS83" t="s">
        <v>194</v>
      </c>
      <c r="AT83">
        <v>8.67</v>
      </c>
      <c r="AU83">
        <v>0.87</v>
      </c>
      <c r="AV83">
        <v>2023</v>
      </c>
      <c r="AW83">
        <v>15</v>
      </c>
      <c r="AX83">
        <v>670</v>
      </c>
      <c r="AY83">
        <v>0</v>
      </c>
      <c r="AZ83" t="s">
        <v>201</v>
      </c>
      <c r="BA83">
        <v>9.56</v>
      </c>
      <c r="BB83" s="1">
        <v>44949</v>
      </c>
    </row>
    <row r="84" spans="1:54" x14ac:dyDescent="0.25">
      <c r="A84">
        <v>2023</v>
      </c>
      <c r="B84">
        <v>39</v>
      </c>
      <c r="C84" s="1">
        <v>44949</v>
      </c>
      <c r="D84">
        <v>2023</v>
      </c>
      <c r="E84">
        <v>2022</v>
      </c>
      <c r="F84">
        <v>720</v>
      </c>
      <c r="H84" t="s">
        <v>200</v>
      </c>
      <c r="I84">
        <v>130</v>
      </c>
      <c r="J84">
        <v>0</v>
      </c>
      <c r="K84" t="s">
        <v>128</v>
      </c>
      <c r="R84" t="s">
        <v>190</v>
      </c>
      <c r="S84" t="str">
        <f t="shared" si="6"/>
        <v>31</v>
      </c>
      <c r="T84" t="s">
        <v>122</v>
      </c>
      <c r="W84" t="s">
        <v>198</v>
      </c>
      <c r="Y84">
        <v>3344</v>
      </c>
      <c r="Z84" t="s">
        <v>192</v>
      </c>
      <c r="AB84" t="str">
        <f t="shared" si="8"/>
        <v>02616630022</v>
      </c>
      <c r="AC84" t="s">
        <v>116</v>
      </c>
      <c r="AD84" t="s">
        <v>193</v>
      </c>
      <c r="AF84">
        <v>2022</v>
      </c>
      <c r="AG84">
        <v>3848</v>
      </c>
      <c r="AH84" t="str">
        <f t="shared" si="7"/>
        <v>1</v>
      </c>
      <c r="AI84" t="str">
        <f>"5220235017"</f>
        <v>5220235017</v>
      </c>
      <c r="AJ84" s="1">
        <v>44914</v>
      </c>
      <c r="AL84">
        <v>572.97</v>
      </c>
      <c r="AM84" t="str">
        <f>"8669865517"</f>
        <v>8669865517</v>
      </c>
      <c r="AN84">
        <v>2023</v>
      </c>
      <c r="AO84">
        <v>19</v>
      </c>
      <c r="AP84">
        <v>572.97</v>
      </c>
      <c r="AQ84">
        <v>0</v>
      </c>
      <c r="AR84" s="2">
        <v>11297.11</v>
      </c>
      <c r="AS84" t="s">
        <v>194</v>
      </c>
      <c r="AT84">
        <v>518.76</v>
      </c>
      <c r="AU84">
        <v>51.88</v>
      </c>
      <c r="AV84">
        <v>2023</v>
      </c>
      <c r="AW84">
        <v>15</v>
      </c>
      <c r="AX84">
        <v>670</v>
      </c>
      <c r="AY84">
        <v>0</v>
      </c>
      <c r="AZ84" t="s">
        <v>201</v>
      </c>
      <c r="BA84">
        <v>572.97</v>
      </c>
      <c r="BB84" s="1">
        <v>44949</v>
      </c>
    </row>
    <row r="85" spans="1:54" x14ac:dyDescent="0.25">
      <c r="A85">
        <v>2023</v>
      </c>
      <c r="B85">
        <v>39</v>
      </c>
      <c r="C85" s="1">
        <v>44949</v>
      </c>
      <c r="D85">
        <v>2023</v>
      </c>
      <c r="E85">
        <v>2022</v>
      </c>
      <c r="F85">
        <v>720</v>
      </c>
      <c r="H85" t="s">
        <v>200</v>
      </c>
      <c r="I85">
        <v>130</v>
      </c>
      <c r="J85">
        <v>0</v>
      </c>
      <c r="K85" t="s">
        <v>128</v>
      </c>
      <c r="R85" t="s">
        <v>190</v>
      </c>
      <c r="S85" t="str">
        <f t="shared" si="6"/>
        <v>31</v>
      </c>
      <c r="T85" t="s">
        <v>122</v>
      </c>
      <c r="W85" t="s">
        <v>198</v>
      </c>
      <c r="Y85">
        <v>3344</v>
      </c>
      <c r="Z85" t="s">
        <v>192</v>
      </c>
      <c r="AB85" t="str">
        <f t="shared" si="8"/>
        <v>02616630022</v>
      </c>
      <c r="AC85" t="s">
        <v>116</v>
      </c>
      <c r="AD85" t="s">
        <v>193</v>
      </c>
      <c r="AF85">
        <v>2022</v>
      </c>
      <c r="AG85">
        <v>3849</v>
      </c>
      <c r="AH85" t="str">
        <f t="shared" si="7"/>
        <v>1</v>
      </c>
      <c r="AI85" t="str">
        <f>"5220235026"</f>
        <v>5220235026</v>
      </c>
      <c r="AJ85" s="1">
        <v>44914</v>
      </c>
      <c r="AL85" s="2">
        <v>1785.06</v>
      </c>
      <c r="AM85" t="str">
        <f>"8669932121"</f>
        <v>8669932121</v>
      </c>
      <c r="AN85">
        <v>2023</v>
      </c>
      <c r="AO85">
        <v>19</v>
      </c>
      <c r="AP85" s="2">
        <v>1785.06</v>
      </c>
      <c r="AQ85">
        <v>0</v>
      </c>
      <c r="AR85" s="2">
        <v>11297.11</v>
      </c>
      <c r="AS85" t="s">
        <v>194</v>
      </c>
      <c r="AT85">
        <v>1619.87</v>
      </c>
      <c r="AU85">
        <v>161.99</v>
      </c>
      <c r="AV85">
        <v>2023</v>
      </c>
      <c r="AW85">
        <v>15</v>
      </c>
      <c r="AX85">
        <v>670</v>
      </c>
      <c r="AY85">
        <v>0</v>
      </c>
      <c r="AZ85" t="s">
        <v>201</v>
      </c>
      <c r="BA85">
        <v>1785.06</v>
      </c>
      <c r="BB85" s="1">
        <v>44949</v>
      </c>
    </row>
    <row r="86" spans="1:54" x14ac:dyDescent="0.25">
      <c r="A86">
        <v>2023</v>
      </c>
      <c r="B86">
        <v>39</v>
      </c>
      <c r="C86" s="1">
        <v>44949</v>
      </c>
      <c r="D86">
        <v>2023</v>
      </c>
      <c r="E86">
        <v>2022</v>
      </c>
      <c r="F86">
        <v>720</v>
      </c>
      <c r="H86" t="s">
        <v>200</v>
      </c>
      <c r="I86">
        <v>130</v>
      </c>
      <c r="J86">
        <v>0</v>
      </c>
      <c r="K86" t="s">
        <v>128</v>
      </c>
      <c r="R86" t="s">
        <v>190</v>
      </c>
      <c r="S86" t="str">
        <f t="shared" si="6"/>
        <v>31</v>
      </c>
      <c r="T86" t="s">
        <v>122</v>
      </c>
      <c r="W86" t="s">
        <v>198</v>
      </c>
      <c r="Y86">
        <v>3344</v>
      </c>
      <c r="Z86" t="s">
        <v>192</v>
      </c>
      <c r="AB86" t="str">
        <f t="shared" si="8"/>
        <v>02616630022</v>
      </c>
      <c r="AC86" t="s">
        <v>116</v>
      </c>
      <c r="AD86" t="s">
        <v>193</v>
      </c>
      <c r="AF86">
        <v>2022</v>
      </c>
      <c r="AG86">
        <v>3850</v>
      </c>
      <c r="AH86" t="str">
        <f t="shared" si="7"/>
        <v>1</v>
      </c>
      <c r="AI86" t="str">
        <f>"5220235042"</f>
        <v>5220235042</v>
      </c>
      <c r="AJ86" s="1">
        <v>44914</v>
      </c>
      <c r="AL86">
        <v>242.93</v>
      </c>
      <c r="AM86" t="str">
        <f>"8669933311"</f>
        <v>8669933311</v>
      </c>
      <c r="AN86">
        <v>2023</v>
      </c>
      <c r="AO86">
        <v>19</v>
      </c>
      <c r="AP86">
        <v>242.93</v>
      </c>
      <c r="AQ86">
        <v>0</v>
      </c>
      <c r="AR86" s="2">
        <v>11297.11</v>
      </c>
      <c r="AS86" t="s">
        <v>194</v>
      </c>
      <c r="AT86">
        <v>220.64</v>
      </c>
      <c r="AU86">
        <v>22.06</v>
      </c>
      <c r="AV86">
        <v>2023</v>
      </c>
      <c r="AW86">
        <v>15</v>
      </c>
      <c r="AX86">
        <v>670</v>
      </c>
      <c r="AY86">
        <v>0</v>
      </c>
      <c r="AZ86" t="s">
        <v>201</v>
      </c>
      <c r="BA86">
        <v>242.93</v>
      </c>
      <c r="BB86" s="1">
        <v>44949</v>
      </c>
    </row>
    <row r="87" spans="1:54" x14ac:dyDescent="0.25">
      <c r="A87">
        <v>2023</v>
      </c>
      <c r="B87">
        <v>39</v>
      </c>
      <c r="C87" s="1">
        <v>44949</v>
      </c>
      <c r="D87">
        <v>2023</v>
      </c>
      <c r="E87">
        <v>2022</v>
      </c>
      <c r="F87">
        <v>720</v>
      </c>
      <c r="H87" t="s">
        <v>200</v>
      </c>
      <c r="I87">
        <v>130</v>
      </c>
      <c r="J87">
        <v>0</v>
      </c>
      <c r="K87" t="s">
        <v>128</v>
      </c>
      <c r="R87" t="s">
        <v>190</v>
      </c>
      <c r="S87" t="str">
        <f t="shared" si="6"/>
        <v>31</v>
      </c>
      <c r="T87" t="s">
        <v>122</v>
      </c>
      <c r="W87" t="s">
        <v>198</v>
      </c>
      <c r="Y87">
        <v>3344</v>
      </c>
      <c r="Z87" t="s">
        <v>192</v>
      </c>
      <c r="AB87" t="str">
        <f t="shared" si="8"/>
        <v>02616630022</v>
      </c>
      <c r="AC87" t="s">
        <v>116</v>
      </c>
      <c r="AD87" t="s">
        <v>193</v>
      </c>
      <c r="AF87">
        <v>2022</v>
      </c>
      <c r="AG87">
        <v>3851</v>
      </c>
      <c r="AH87" t="str">
        <f t="shared" si="7"/>
        <v>1</v>
      </c>
      <c r="AI87" t="str">
        <f>"5220235021"</f>
        <v>5220235021</v>
      </c>
      <c r="AJ87" s="1">
        <v>44914</v>
      </c>
      <c r="AL87">
        <v>16.71</v>
      </c>
      <c r="AM87" t="str">
        <f>"8669925123"</f>
        <v>8669925123</v>
      </c>
      <c r="AN87">
        <v>2023</v>
      </c>
      <c r="AO87">
        <v>19</v>
      </c>
      <c r="AP87">
        <v>16.71</v>
      </c>
      <c r="AQ87">
        <v>0</v>
      </c>
      <c r="AR87" s="2">
        <v>11297.11</v>
      </c>
      <c r="AS87" t="s">
        <v>194</v>
      </c>
      <c r="AT87">
        <v>14.99</v>
      </c>
      <c r="AU87">
        <v>1.5</v>
      </c>
      <c r="AV87">
        <v>2023</v>
      </c>
      <c r="AW87">
        <v>15</v>
      </c>
      <c r="AX87">
        <v>670</v>
      </c>
      <c r="AY87">
        <v>0</v>
      </c>
      <c r="AZ87" t="s">
        <v>201</v>
      </c>
      <c r="BA87">
        <v>16.71</v>
      </c>
      <c r="BB87" s="1">
        <v>44949</v>
      </c>
    </row>
    <row r="88" spans="1:54" x14ac:dyDescent="0.25">
      <c r="A88">
        <v>2023</v>
      </c>
      <c r="B88">
        <v>39</v>
      </c>
      <c r="C88" s="1">
        <v>44949</v>
      </c>
      <c r="D88">
        <v>2023</v>
      </c>
      <c r="E88">
        <v>2022</v>
      </c>
      <c r="F88">
        <v>720</v>
      </c>
      <c r="H88" t="s">
        <v>200</v>
      </c>
      <c r="I88">
        <v>130</v>
      </c>
      <c r="J88">
        <v>0</v>
      </c>
      <c r="K88" t="s">
        <v>128</v>
      </c>
      <c r="R88" t="s">
        <v>190</v>
      </c>
      <c r="S88" t="str">
        <f t="shared" si="6"/>
        <v>31</v>
      </c>
      <c r="T88" t="s">
        <v>122</v>
      </c>
      <c r="W88" t="s">
        <v>198</v>
      </c>
      <c r="Y88">
        <v>3344</v>
      </c>
      <c r="Z88" t="s">
        <v>192</v>
      </c>
      <c r="AB88" t="str">
        <f t="shared" si="8"/>
        <v>02616630022</v>
      </c>
      <c r="AC88" t="s">
        <v>116</v>
      </c>
      <c r="AD88" t="s">
        <v>193</v>
      </c>
      <c r="AF88">
        <v>2022</v>
      </c>
      <c r="AG88">
        <v>3852</v>
      </c>
      <c r="AH88" t="str">
        <f t="shared" si="7"/>
        <v>1</v>
      </c>
      <c r="AI88" t="str">
        <f>"5220234975"</f>
        <v>5220234975</v>
      </c>
      <c r="AJ88" s="1">
        <v>44914</v>
      </c>
      <c r="AL88">
        <v>68.69</v>
      </c>
      <c r="AM88" t="str">
        <f>"8669984204"</f>
        <v>8669984204</v>
      </c>
      <c r="AN88">
        <v>2023</v>
      </c>
      <c r="AO88">
        <v>19</v>
      </c>
      <c r="AP88">
        <v>68.69</v>
      </c>
      <c r="AQ88">
        <v>0</v>
      </c>
      <c r="AR88" s="2">
        <v>11297.11</v>
      </c>
      <c r="AS88" t="s">
        <v>194</v>
      </c>
      <c r="AT88">
        <v>62.42</v>
      </c>
      <c r="AU88">
        <v>6.24</v>
      </c>
      <c r="AV88">
        <v>2023</v>
      </c>
      <c r="AW88">
        <v>15</v>
      </c>
      <c r="AX88">
        <v>670</v>
      </c>
      <c r="AY88">
        <v>0</v>
      </c>
      <c r="AZ88" t="s">
        <v>201</v>
      </c>
      <c r="BA88">
        <v>68.69</v>
      </c>
      <c r="BB88" s="1">
        <v>44949</v>
      </c>
    </row>
    <row r="89" spans="1:54" x14ac:dyDescent="0.25">
      <c r="A89">
        <v>2023</v>
      </c>
      <c r="B89">
        <v>39</v>
      </c>
      <c r="C89" s="1">
        <v>44949</v>
      </c>
      <c r="D89">
        <v>2023</v>
      </c>
      <c r="E89">
        <v>2022</v>
      </c>
      <c r="F89">
        <v>720</v>
      </c>
      <c r="H89" t="s">
        <v>200</v>
      </c>
      <c r="I89">
        <v>130</v>
      </c>
      <c r="J89">
        <v>0</v>
      </c>
      <c r="K89" t="s">
        <v>128</v>
      </c>
      <c r="R89" t="s">
        <v>190</v>
      </c>
      <c r="S89" t="str">
        <f t="shared" si="6"/>
        <v>31</v>
      </c>
      <c r="T89" t="s">
        <v>122</v>
      </c>
      <c r="W89" t="s">
        <v>198</v>
      </c>
      <c r="Y89">
        <v>3344</v>
      </c>
      <c r="Z89" t="s">
        <v>192</v>
      </c>
      <c r="AB89" t="str">
        <f t="shared" si="8"/>
        <v>02616630022</v>
      </c>
      <c r="AC89" t="s">
        <v>116</v>
      </c>
      <c r="AD89" t="s">
        <v>193</v>
      </c>
      <c r="AF89">
        <v>2022</v>
      </c>
      <c r="AG89">
        <v>3854</v>
      </c>
      <c r="AH89" t="str">
        <f t="shared" si="7"/>
        <v>1</v>
      </c>
      <c r="AI89" t="str">
        <f>"5220234924"</f>
        <v>5220234924</v>
      </c>
      <c r="AJ89" s="1">
        <v>44914</v>
      </c>
      <c r="AL89" s="2">
        <v>1958.85</v>
      </c>
      <c r="AM89" t="str">
        <f>"8669973623"</f>
        <v>8669973623</v>
      </c>
      <c r="AN89">
        <v>2023</v>
      </c>
      <c r="AO89">
        <v>19</v>
      </c>
      <c r="AP89" s="2">
        <v>1958.85</v>
      </c>
      <c r="AQ89">
        <v>0</v>
      </c>
      <c r="AR89" s="2">
        <v>11297.11</v>
      </c>
      <c r="AS89" t="s">
        <v>194</v>
      </c>
      <c r="AT89">
        <v>1778.08</v>
      </c>
      <c r="AU89">
        <v>177.81</v>
      </c>
      <c r="AV89">
        <v>2023</v>
      </c>
      <c r="AW89">
        <v>15</v>
      </c>
      <c r="AX89">
        <v>670</v>
      </c>
      <c r="AY89">
        <v>0</v>
      </c>
      <c r="AZ89" t="s">
        <v>201</v>
      </c>
      <c r="BA89">
        <v>1958.85</v>
      </c>
      <c r="BB89" s="1">
        <v>44949</v>
      </c>
    </row>
    <row r="90" spans="1:54" x14ac:dyDescent="0.25">
      <c r="A90">
        <v>2023</v>
      </c>
      <c r="B90">
        <v>39</v>
      </c>
      <c r="C90" s="1">
        <v>44949</v>
      </c>
      <c r="D90">
        <v>2023</v>
      </c>
      <c r="E90">
        <v>2022</v>
      </c>
      <c r="F90">
        <v>720</v>
      </c>
      <c r="H90" t="s">
        <v>200</v>
      </c>
      <c r="I90">
        <v>130</v>
      </c>
      <c r="J90">
        <v>0</v>
      </c>
      <c r="K90" t="s">
        <v>128</v>
      </c>
      <c r="R90" t="s">
        <v>190</v>
      </c>
      <c r="S90" t="str">
        <f t="shared" si="6"/>
        <v>31</v>
      </c>
      <c r="T90" t="s">
        <v>122</v>
      </c>
      <c r="W90" t="s">
        <v>198</v>
      </c>
      <c r="Y90">
        <v>3344</v>
      </c>
      <c r="Z90" t="s">
        <v>192</v>
      </c>
      <c r="AB90" t="str">
        <f t="shared" si="8"/>
        <v>02616630022</v>
      </c>
      <c r="AC90" t="s">
        <v>116</v>
      </c>
      <c r="AD90" t="s">
        <v>193</v>
      </c>
      <c r="AF90">
        <v>2022</v>
      </c>
      <c r="AG90">
        <v>3856</v>
      </c>
      <c r="AH90" t="str">
        <f t="shared" si="7"/>
        <v>1</v>
      </c>
      <c r="AI90" t="str">
        <f>"5220235040"</f>
        <v>5220235040</v>
      </c>
      <c r="AJ90" s="1">
        <v>44914</v>
      </c>
      <c r="AL90">
        <v>9.57</v>
      </c>
      <c r="AM90" t="str">
        <f>"8669905206"</f>
        <v>8669905206</v>
      </c>
      <c r="AN90">
        <v>2023</v>
      </c>
      <c r="AO90">
        <v>19</v>
      </c>
      <c r="AP90">
        <v>9.57</v>
      </c>
      <c r="AQ90">
        <v>0</v>
      </c>
      <c r="AR90" s="2">
        <v>11297.11</v>
      </c>
      <c r="AS90" t="s">
        <v>194</v>
      </c>
      <c r="AT90">
        <v>8.68</v>
      </c>
      <c r="AU90">
        <v>0.87</v>
      </c>
      <c r="AV90">
        <v>2023</v>
      </c>
      <c r="AW90">
        <v>15</v>
      </c>
      <c r="AX90">
        <v>670</v>
      </c>
      <c r="AY90">
        <v>0</v>
      </c>
      <c r="AZ90" t="s">
        <v>201</v>
      </c>
      <c r="BA90">
        <v>9.57</v>
      </c>
      <c r="BB90" s="1">
        <v>44949</v>
      </c>
    </row>
    <row r="91" spans="1:54" x14ac:dyDescent="0.25">
      <c r="A91">
        <v>2023</v>
      </c>
      <c r="B91">
        <v>39</v>
      </c>
      <c r="C91" s="1">
        <v>44949</v>
      </c>
      <c r="D91">
        <v>2023</v>
      </c>
      <c r="E91">
        <v>2022</v>
      </c>
      <c r="F91">
        <v>720</v>
      </c>
      <c r="H91" t="s">
        <v>200</v>
      </c>
      <c r="I91">
        <v>130</v>
      </c>
      <c r="J91">
        <v>0</v>
      </c>
      <c r="K91" t="s">
        <v>128</v>
      </c>
      <c r="R91" t="s">
        <v>190</v>
      </c>
      <c r="S91" t="str">
        <f t="shared" si="6"/>
        <v>31</v>
      </c>
      <c r="T91" t="s">
        <v>122</v>
      </c>
      <c r="W91" t="s">
        <v>198</v>
      </c>
      <c r="Y91">
        <v>3344</v>
      </c>
      <c r="Z91" t="s">
        <v>192</v>
      </c>
      <c r="AB91" t="str">
        <f t="shared" si="8"/>
        <v>02616630022</v>
      </c>
      <c r="AC91" t="s">
        <v>116</v>
      </c>
      <c r="AD91" t="s">
        <v>193</v>
      </c>
      <c r="AF91">
        <v>2022</v>
      </c>
      <c r="AG91">
        <v>3857</v>
      </c>
      <c r="AH91" t="str">
        <f t="shared" si="7"/>
        <v>1</v>
      </c>
      <c r="AI91" t="str">
        <f>"5220234996"</f>
        <v>5220234996</v>
      </c>
      <c r="AJ91" s="1">
        <v>44914</v>
      </c>
      <c r="AL91">
        <v>18.57</v>
      </c>
      <c r="AM91" t="str">
        <f>"8669970018"</f>
        <v>8669970018</v>
      </c>
      <c r="AN91">
        <v>2023</v>
      </c>
      <c r="AO91">
        <v>19</v>
      </c>
      <c r="AP91">
        <v>18.57</v>
      </c>
      <c r="AQ91">
        <v>0</v>
      </c>
      <c r="AR91" s="2">
        <v>11297.11</v>
      </c>
      <c r="AS91" t="s">
        <v>194</v>
      </c>
      <c r="AT91">
        <v>16.87</v>
      </c>
      <c r="AU91">
        <v>1.69</v>
      </c>
      <c r="AV91">
        <v>2023</v>
      </c>
      <c r="AW91">
        <v>15</v>
      </c>
      <c r="AX91">
        <v>670</v>
      </c>
      <c r="AY91">
        <v>0</v>
      </c>
      <c r="AZ91" t="s">
        <v>201</v>
      </c>
      <c r="BA91">
        <v>18.57</v>
      </c>
      <c r="BB91" s="1">
        <v>44949</v>
      </c>
    </row>
    <row r="92" spans="1:54" x14ac:dyDescent="0.25">
      <c r="A92">
        <v>2023</v>
      </c>
      <c r="B92">
        <v>39</v>
      </c>
      <c r="C92" s="1">
        <v>44949</v>
      </c>
      <c r="D92">
        <v>2023</v>
      </c>
      <c r="E92">
        <v>2022</v>
      </c>
      <c r="F92">
        <v>720</v>
      </c>
      <c r="H92" t="s">
        <v>200</v>
      </c>
      <c r="I92">
        <v>130</v>
      </c>
      <c r="J92">
        <v>0</v>
      </c>
      <c r="K92" t="s">
        <v>128</v>
      </c>
      <c r="R92" t="s">
        <v>190</v>
      </c>
      <c r="S92" t="str">
        <f t="shared" si="6"/>
        <v>31</v>
      </c>
      <c r="T92" t="s">
        <v>122</v>
      </c>
      <c r="W92" t="s">
        <v>198</v>
      </c>
      <c r="Y92">
        <v>3344</v>
      </c>
      <c r="Z92" t="s">
        <v>192</v>
      </c>
      <c r="AB92" t="str">
        <f t="shared" si="8"/>
        <v>02616630022</v>
      </c>
      <c r="AC92" t="s">
        <v>116</v>
      </c>
      <c r="AD92" t="s">
        <v>193</v>
      </c>
      <c r="AF92">
        <v>2022</v>
      </c>
      <c r="AG92">
        <v>3859</v>
      </c>
      <c r="AH92" t="str">
        <f t="shared" si="7"/>
        <v>1</v>
      </c>
      <c r="AI92" t="str">
        <f>"5220235007"</f>
        <v>5220235007</v>
      </c>
      <c r="AJ92" s="1">
        <v>44914</v>
      </c>
      <c r="AL92">
        <v>37.64</v>
      </c>
      <c r="AM92" t="str">
        <f>"8670008825"</f>
        <v>8670008825</v>
      </c>
      <c r="AN92">
        <v>2023</v>
      </c>
      <c r="AO92">
        <v>19</v>
      </c>
      <c r="AP92">
        <v>37.64</v>
      </c>
      <c r="AQ92">
        <v>0</v>
      </c>
      <c r="AR92" s="2">
        <v>11297.11</v>
      </c>
      <c r="AS92" t="s">
        <v>194</v>
      </c>
      <c r="AT92">
        <v>34.159999999999997</v>
      </c>
      <c r="AU92">
        <v>3.42</v>
      </c>
      <c r="AV92">
        <v>2023</v>
      </c>
      <c r="AW92">
        <v>15</v>
      </c>
      <c r="AX92">
        <v>670</v>
      </c>
      <c r="AY92">
        <v>0</v>
      </c>
      <c r="AZ92" t="s">
        <v>201</v>
      </c>
      <c r="BA92">
        <v>37.64</v>
      </c>
      <c r="BB92" s="1">
        <v>44949</v>
      </c>
    </row>
    <row r="93" spans="1:54" x14ac:dyDescent="0.25">
      <c r="A93">
        <v>2023</v>
      </c>
      <c r="B93">
        <v>39</v>
      </c>
      <c r="C93" s="1">
        <v>44949</v>
      </c>
      <c r="D93">
        <v>2023</v>
      </c>
      <c r="E93">
        <v>2022</v>
      </c>
      <c r="F93">
        <v>720</v>
      </c>
      <c r="H93" t="s">
        <v>200</v>
      </c>
      <c r="I93">
        <v>130</v>
      </c>
      <c r="J93">
        <v>0</v>
      </c>
      <c r="K93" t="s">
        <v>128</v>
      </c>
      <c r="R93" t="s">
        <v>190</v>
      </c>
      <c r="S93" t="str">
        <f t="shared" si="6"/>
        <v>31</v>
      </c>
      <c r="T93" t="s">
        <v>122</v>
      </c>
      <c r="W93" t="s">
        <v>198</v>
      </c>
      <c r="Y93">
        <v>3344</v>
      </c>
      <c r="Z93" t="s">
        <v>192</v>
      </c>
      <c r="AB93" t="str">
        <f t="shared" si="8"/>
        <v>02616630022</v>
      </c>
      <c r="AC93" t="s">
        <v>116</v>
      </c>
      <c r="AD93" t="s">
        <v>193</v>
      </c>
      <c r="AF93">
        <v>2022</v>
      </c>
      <c r="AG93">
        <v>3861</v>
      </c>
      <c r="AH93" t="str">
        <f t="shared" si="7"/>
        <v>1</v>
      </c>
      <c r="AI93" t="str">
        <f>"5220234920"</f>
        <v>5220234920</v>
      </c>
      <c r="AJ93" s="1">
        <v>44914</v>
      </c>
      <c r="AL93" s="2">
        <v>2872.39</v>
      </c>
      <c r="AM93" t="str">
        <f>"8669942813"</f>
        <v>8669942813</v>
      </c>
      <c r="AN93">
        <v>2023</v>
      </c>
      <c r="AO93">
        <v>19</v>
      </c>
      <c r="AP93" s="2">
        <v>2872.39</v>
      </c>
      <c r="AQ93">
        <v>0</v>
      </c>
      <c r="AR93" s="2">
        <v>11297.11</v>
      </c>
      <c r="AS93" t="s">
        <v>194</v>
      </c>
      <c r="AT93">
        <v>2606.7399999999998</v>
      </c>
      <c r="AU93">
        <v>260.67</v>
      </c>
      <c r="AV93">
        <v>2023</v>
      </c>
      <c r="AW93">
        <v>15</v>
      </c>
      <c r="AX93">
        <v>670</v>
      </c>
      <c r="AY93">
        <v>0</v>
      </c>
      <c r="AZ93" t="s">
        <v>201</v>
      </c>
      <c r="BA93">
        <v>2872.39</v>
      </c>
      <c r="BB93" s="1">
        <v>44949</v>
      </c>
    </row>
    <row r="94" spans="1:54" x14ac:dyDescent="0.25">
      <c r="A94">
        <v>2023</v>
      </c>
      <c r="B94">
        <v>39</v>
      </c>
      <c r="C94" s="1">
        <v>44949</v>
      </c>
      <c r="D94">
        <v>2023</v>
      </c>
      <c r="E94">
        <v>2022</v>
      </c>
      <c r="F94">
        <v>720</v>
      </c>
      <c r="H94" t="s">
        <v>200</v>
      </c>
      <c r="I94">
        <v>130</v>
      </c>
      <c r="J94">
        <v>0</v>
      </c>
      <c r="K94" t="s">
        <v>128</v>
      </c>
      <c r="R94" t="s">
        <v>190</v>
      </c>
      <c r="S94" t="str">
        <f t="shared" si="6"/>
        <v>31</v>
      </c>
      <c r="T94" t="s">
        <v>122</v>
      </c>
      <c r="W94" t="s">
        <v>198</v>
      </c>
      <c r="Y94">
        <v>3344</v>
      </c>
      <c r="Z94" t="s">
        <v>192</v>
      </c>
      <c r="AB94" t="str">
        <f t="shared" si="8"/>
        <v>02616630022</v>
      </c>
      <c r="AC94" t="s">
        <v>116</v>
      </c>
      <c r="AD94" t="s">
        <v>193</v>
      </c>
      <c r="AF94">
        <v>2022</v>
      </c>
      <c r="AG94">
        <v>3862</v>
      </c>
      <c r="AH94" t="str">
        <f t="shared" si="7"/>
        <v>1</v>
      </c>
      <c r="AI94" t="str">
        <f>"5220234921"</f>
        <v>5220234921</v>
      </c>
      <c r="AJ94" s="1">
        <v>44914</v>
      </c>
      <c r="AL94" s="2">
        <v>1147.69</v>
      </c>
      <c r="AM94" t="str">
        <f>"8669975409"</f>
        <v>8669975409</v>
      </c>
      <c r="AN94">
        <v>2023</v>
      </c>
      <c r="AO94">
        <v>19</v>
      </c>
      <c r="AP94" s="2">
        <v>1147.69</v>
      </c>
      <c r="AQ94">
        <v>0</v>
      </c>
      <c r="AR94" s="2">
        <v>11297.11</v>
      </c>
      <c r="AS94" t="s">
        <v>194</v>
      </c>
      <c r="AT94">
        <v>1042.22</v>
      </c>
      <c r="AU94">
        <v>104.22</v>
      </c>
      <c r="AV94">
        <v>2023</v>
      </c>
      <c r="AW94">
        <v>15</v>
      </c>
      <c r="AX94">
        <v>670</v>
      </c>
      <c r="AY94">
        <v>0</v>
      </c>
      <c r="AZ94" t="s">
        <v>201</v>
      </c>
      <c r="BA94">
        <v>1147.69</v>
      </c>
      <c r="BB94" s="1">
        <v>44949</v>
      </c>
    </row>
    <row r="95" spans="1:54" x14ac:dyDescent="0.25">
      <c r="A95">
        <v>2023</v>
      </c>
      <c r="B95">
        <v>39</v>
      </c>
      <c r="C95" s="1">
        <v>44949</v>
      </c>
      <c r="D95">
        <v>2023</v>
      </c>
      <c r="E95">
        <v>2022</v>
      </c>
      <c r="F95">
        <v>720</v>
      </c>
      <c r="H95" t="s">
        <v>200</v>
      </c>
      <c r="I95">
        <v>130</v>
      </c>
      <c r="J95">
        <v>0</v>
      </c>
      <c r="K95" t="s">
        <v>128</v>
      </c>
      <c r="R95" t="s">
        <v>190</v>
      </c>
      <c r="S95" t="str">
        <f t="shared" si="6"/>
        <v>31</v>
      </c>
      <c r="T95" t="s">
        <v>122</v>
      </c>
      <c r="W95" t="s">
        <v>198</v>
      </c>
      <c r="Y95">
        <v>3344</v>
      </c>
      <c r="Z95" t="s">
        <v>192</v>
      </c>
      <c r="AB95" t="str">
        <f t="shared" si="8"/>
        <v>02616630022</v>
      </c>
      <c r="AC95" t="s">
        <v>116</v>
      </c>
      <c r="AD95" t="s">
        <v>193</v>
      </c>
      <c r="AF95">
        <v>2022</v>
      </c>
      <c r="AG95">
        <v>3863</v>
      </c>
      <c r="AH95" t="str">
        <f t="shared" si="7"/>
        <v>1</v>
      </c>
      <c r="AI95" t="str">
        <f>"5220234916"</f>
        <v>5220234916</v>
      </c>
      <c r="AJ95" s="1">
        <v>44914</v>
      </c>
      <c r="AL95" s="2">
        <v>1733.77</v>
      </c>
      <c r="AM95" t="str">
        <f>"8669974425"</f>
        <v>8669974425</v>
      </c>
      <c r="AN95">
        <v>2023</v>
      </c>
      <c r="AO95">
        <v>19</v>
      </c>
      <c r="AP95" s="2">
        <v>1733.77</v>
      </c>
      <c r="AQ95">
        <v>0</v>
      </c>
      <c r="AR95" s="2">
        <v>11297.11</v>
      </c>
      <c r="AS95" t="s">
        <v>194</v>
      </c>
      <c r="AT95">
        <v>1574.53</v>
      </c>
      <c r="AU95">
        <v>157.44999999999999</v>
      </c>
      <c r="AV95">
        <v>2023</v>
      </c>
      <c r="AW95">
        <v>15</v>
      </c>
      <c r="AX95">
        <v>670</v>
      </c>
      <c r="AY95">
        <v>0</v>
      </c>
      <c r="AZ95" t="s">
        <v>201</v>
      </c>
      <c r="BA95">
        <v>1733.77</v>
      </c>
      <c r="BB95" s="1">
        <v>44949</v>
      </c>
    </row>
    <row r="96" spans="1:54" x14ac:dyDescent="0.25">
      <c r="A96">
        <v>2023</v>
      </c>
      <c r="B96">
        <v>39</v>
      </c>
      <c r="C96" s="1">
        <v>44949</v>
      </c>
      <c r="D96">
        <v>2023</v>
      </c>
      <c r="E96">
        <v>2022</v>
      </c>
      <c r="F96">
        <v>720</v>
      </c>
      <c r="H96" t="s">
        <v>200</v>
      </c>
      <c r="I96">
        <v>130</v>
      </c>
      <c r="J96">
        <v>0</v>
      </c>
      <c r="K96" t="s">
        <v>128</v>
      </c>
      <c r="R96" t="s">
        <v>190</v>
      </c>
      <c r="S96" t="str">
        <f t="shared" si="6"/>
        <v>31</v>
      </c>
      <c r="T96" t="s">
        <v>122</v>
      </c>
      <c r="W96" t="s">
        <v>198</v>
      </c>
      <c r="Y96">
        <v>3344</v>
      </c>
      <c r="Z96" t="s">
        <v>192</v>
      </c>
      <c r="AB96" t="str">
        <f t="shared" si="8"/>
        <v>02616630022</v>
      </c>
      <c r="AC96" t="s">
        <v>116</v>
      </c>
      <c r="AD96" t="s">
        <v>193</v>
      </c>
      <c r="AF96">
        <v>2022</v>
      </c>
      <c r="AG96">
        <v>3864</v>
      </c>
      <c r="AH96" t="str">
        <f t="shared" si="7"/>
        <v>1</v>
      </c>
      <c r="AI96" t="str">
        <f>"5220234937"</f>
        <v>5220234937</v>
      </c>
      <c r="AJ96" s="1">
        <v>44914</v>
      </c>
      <c r="AL96" s="2">
        <v>3334.22</v>
      </c>
      <c r="AM96" t="str">
        <f>"8670038727"</f>
        <v>8670038727</v>
      </c>
      <c r="AN96">
        <v>2023</v>
      </c>
      <c r="AO96">
        <v>19</v>
      </c>
      <c r="AP96" s="2">
        <v>3334.22</v>
      </c>
      <c r="AQ96">
        <v>0</v>
      </c>
      <c r="AR96" s="2">
        <v>11297.11</v>
      </c>
      <c r="AS96" t="s">
        <v>194</v>
      </c>
      <c r="AT96">
        <v>3027.53</v>
      </c>
      <c r="AU96">
        <v>302.75</v>
      </c>
      <c r="AV96">
        <v>2023</v>
      </c>
      <c r="AW96">
        <v>15</v>
      </c>
      <c r="AX96">
        <v>670</v>
      </c>
      <c r="AY96">
        <v>0</v>
      </c>
      <c r="AZ96" t="s">
        <v>201</v>
      </c>
      <c r="BA96">
        <v>3334.22</v>
      </c>
      <c r="BB96" s="1">
        <v>44949</v>
      </c>
    </row>
    <row r="97" spans="1:54" x14ac:dyDescent="0.25">
      <c r="A97">
        <v>2023</v>
      </c>
      <c r="B97">
        <v>39</v>
      </c>
      <c r="C97" s="1">
        <v>44949</v>
      </c>
      <c r="D97">
        <v>2023</v>
      </c>
      <c r="E97">
        <v>2022</v>
      </c>
      <c r="F97">
        <v>720</v>
      </c>
      <c r="H97" t="s">
        <v>200</v>
      </c>
      <c r="I97">
        <v>130</v>
      </c>
      <c r="J97">
        <v>0</v>
      </c>
      <c r="K97" t="s">
        <v>128</v>
      </c>
      <c r="R97" t="s">
        <v>190</v>
      </c>
      <c r="S97" t="str">
        <f t="shared" si="6"/>
        <v>31</v>
      </c>
      <c r="T97" t="s">
        <v>122</v>
      </c>
      <c r="W97" t="s">
        <v>198</v>
      </c>
      <c r="Y97">
        <v>3344</v>
      </c>
      <c r="Z97" t="s">
        <v>192</v>
      </c>
      <c r="AB97" t="str">
        <f t="shared" si="8"/>
        <v>02616630022</v>
      </c>
      <c r="AC97" t="s">
        <v>116</v>
      </c>
      <c r="AD97" t="s">
        <v>193</v>
      </c>
      <c r="AF97">
        <v>2022</v>
      </c>
      <c r="AG97">
        <v>3865</v>
      </c>
      <c r="AH97" t="str">
        <f t="shared" si="7"/>
        <v>1</v>
      </c>
      <c r="AI97" t="str">
        <f>"5220234997"</f>
        <v>5220234997</v>
      </c>
      <c r="AJ97" s="1">
        <v>44914</v>
      </c>
      <c r="AL97">
        <v>22.54</v>
      </c>
      <c r="AM97" t="str">
        <f>"8670037926"</f>
        <v>8670037926</v>
      </c>
      <c r="AN97">
        <v>2023</v>
      </c>
      <c r="AO97">
        <v>19</v>
      </c>
      <c r="AP97">
        <v>22.54</v>
      </c>
      <c r="AQ97">
        <v>0</v>
      </c>
      <c r="AR97" s="2">
        <v>11297.11</v>
      </c>
      <c r="AS97" t="s">
        <v>194</v>
      </c>
      <c r="AT97">
        <v>20.45</v>
      </c>
      <c r="AU97">
        <v>2.0499999999999998</v>
      </c>
      <c r="AV97">
        <v>2023</v>
      </c>
      <c r="AW97">
        <v>15</v>
      </c>
      <c r="AX97">
        <v>670</v>
      </c>
      <c r="AY97">
        <v>0</v>
      </c>
      <c r="AZ97" t="s">
        <v>201</v>
      </c>
      <c r="BA97">
        <v>22.54</v>
      </c>
      <c r="BB97" s="1">
        <v>44949</v>
      </c>
    </row>
    <row r="98" spans="1:54" x14ac:dyDescent="0.25">
      <c r="A98">
        <v>2023</v>
      </c>
      <c r="B98">
        <v>39</v>
      </c>
      <c r="C98" s="1">
        <v>44949</v>
      </c>
      <c r="D98">
        <v>2023</v>
      </c>
      <c r="E98">
        <v>2022</v>
      </c>
      <c r="F98">
        <v>720</v>
      </c>
      <c r="H98" t="s">
        <v>200</v>
      </c>
      <c r="I98">
        <v>130</v>
      </c>
      <c r="J98">
        <v>0</v>
      </c>
      <c r="K98" t="s">
        <v>128</v>
      </c>
      <c r="R98" t="s">
        <v>190</v>
      </c>
      <c r="S98" t="str">
        <f t="shared" ref="S98:S129" si="9">"31"</f>
        <v>31</v>
      </c>
      <c r="T98" t="s">
        <v>122</v>
      </c>
      <c r="W98" t="s">
        <v>198</v>
      </c>
      <c r="Y98">
        <v>3344</v>
      </c>
      <c r="Z98" t="s">
        <v>192</v>
      </c>
      <c r="AB98" t="str">
        <f t="shared" si="8"/>
        <v>02616630022</v>
      </c>
      <c r="AC98" t="s">
        <v>116</v>
      </c>
      <c r="AD98" t="s">
        <v>193</v>
      </c>
      <c r="AF98">
        <v>2022</v>
      </c>
      <c r="AG98">
        <v>3868</v>
      </c>
      <c r="AH98" t="str">
        <f t="shared" si="7"/>
        <v>1</v>
      </c>
      <c r="AI98" t="str">
        <f>"5220234962"</f>
        <v>5220234962</v>
      </c>
      <c r="AJ98" s="1">
        <v>44914</v>
      </c>
      <c r="AL98" s="2">
        <v>1903.08</v>
      </c>
      <c r="AM98" t="str">
        <f>"8670060720"</f>
        <v>8670060720</v>
      </c>
      <c r="AN98">
        <v>2023</v>
      </c>
      <c r="AO98">
        <v>19</v>
      </c>
      <c r="AP98" s="2">
        <v>1903.08</v>
      </c>
      <c r="AQ98">
        <v>0</v>
      </c>
      <c r="AR98" s="2">
        <v>11297.11</v>
      </c>
      <c r="AS98" t="s">
        <v>194</v>
      </c>
      <c r="AT98">
        <v>1719.03</v>
      </c>
      <c r="AU98">
        <v>171.9</v>
      </c>
      <c r="AV98">
        <v>2023</v>
      </c>
      <c r="AW98">
        <v>15</v>
      </c>
      <c r="AX98">
        <v>670</v>
      </c>
      <c r="AY98">
        <v>0</v>
      </c>
      <c r="AZ98" t="s">
        <v>201</v>
      </c>
      <c r="BA98">
        <v>1903.08</v>
      </c>
      <c r="BB98" s="1">
        <v>44949</v>
      </c>
    </row>
    <row r="99" spans="1:54" x14ac:dyDescent="0.25">
      <c r="A99">
        <v>2023</v>
      </c>
      <c r="B99">
        <v>39</v>
      </c>
      <c r="C99" s="1">
        <v>44949</v>
      </c>
      <c r="D99">
        <v>2023</v>
      </c>
      <c r="E99">
        <v>2022</v>
      </c>
      <c r="F99">
        <v>720</v>
      </c>
      <c r="H99" t="s">
        <v>200</v>
      </c>
      <c r="I99">
        <v>130</v>
      </c>
      <c r="J99">
        <v>0</v>
      </c>
      <c r="K99" t="s">
        <v>128</v>
      </c>
      <c r="R99" t="s">
        <v>190</v>
      </c>
      <c r="S99" t="str">
        <f t="shared" si="9"/>
        <v>31</v>
      </c>
      <c r="T99" t="s">
        <v>122</v>
      </c>
      <c r="W99" t="s">
        <v>198</v>
      </c>
      <c r="Y99">
        <v>3344</v>
      </c>
      <c r="Z99" t="s">
        <v>192</v>
      </c>
      <c r="AB99" t="str">
        <f t="shared" si="8"/>
        <v>02616630022</v>
      </c>
      <c r="AC99" t="s">
        <v>116</v>
      </c>
      <c r="AD99" t="s">
        <v>193</v>
      </c>
      <c r="AF99">
        <v>2022</v>
      </c>
      <c r="AG99">
        <v>3869</v>
      </c>
      <c r="AH99" t="str">
        <f t="shared" si="7"/>
        <v>1</v>
      </c>
      <c r="AI99" t="str">
        <f>"5220234986"</f>
        <v>5220234986</v>
      </c>
      <c r="AJ99" s="1">
        <v>44914</v>
      </c>
      <c r="AL99" s="2">
        <v>3036.39</v>
      </c>
      <c r="AM99" t="str">
        <f>"8669988017"</f>
        <v>8669988017</v>
      </c>
      <c r="AN99">
        <v>2023</v>
      </c>
      <c r="AO99">
        <v>19</v>
      </c>
      <c r="AP99" s="2">
        <v>3036.39</v>
      </c>
      <c r="AQ99">
        <v>0</v>
      </c>
      <c r="AR99" s="2">
        <v>11297.11</v>
      </c>
      <c r="AS99" t="s">
        <v>194</v>
      </c>
      <c r="AT99">
        <v>2751.67</v>
      </c>
      <c r="AU99">
        <v>275.17</v>
      </c>
      <c r="AV99">
        <v>2023</v>
      </c>
      <c r="AW99">
        <v>15</v>
      </c>
      <c r="AX99">
        <v>670</v>
      </c>
      <c r="AY99">
        <v>0</v>
      </c>
      <c r="AZ99" t="s">
        <v>201</v>
      </c>
      <c r="BA99">
        <v>3036.39</v>
      </c>
      <c r="BB99" s="1">
        <v>44949</v>
      </c>
    </row>
    <row r="100" spans="1:54" x14ac:dyDescent="0.25">
      <c r="A100">
        <v>2023</v>
      </c>
      <c r="B100">
        <v>39</v>
      </c>
      <c r="C100" s="1">
        <v>44949</v>
      </c>
      <c r="D100">
        <v>2023</v>
      </c>
      <c r="E100">
        <v>2022</v>
      </c>
      <c r="F100">
        <v>720</v>
      </c>
      <c r="H100" t="s">
        <v>200</v>
      </c>
      <c r="I100">
        <v>130</v>
      </c>
      <c r="J100">
        <v>0</v>
      </c>
      <c r="K100" t="s">
        <v>128</v>
      </c>
      <c r="R100" t="s">
        <v>190</v>
      </c>
      <c r="S100" t="str">
        <f t="shared" si="9"/>
        <v>31</v>
      </c>
      <c r="T100" t="s">
        <v>122</v>
      </c>
      <c r="W100" t="s">
        <v>198</v>
      </c>
      <c r="Y100">
        <v>3344</v>
      </c>
      <c r="Z100" t="s">
        <v>192</v>
      </c>
      <c r="AB100" t="str">
        <f t="shared" si="8"/>
        <v>02616630022</v>
      </c>
      <c r="AC100" t="s">
        <v>116</v>
      </c>
      <c r="AD100" t="s">
        <v>193</v>
      </c>
      <c r="AF100">
        <v>2022</v>
      </c>
      <c r="AG100">
        <v>3870</v>
      </c>
      <c r="AH100" t="str">
        <f t="shared" ref="AH100:AH131" si="10">"1"</f>
        <v>1</v>
      </c>
      <c r="AI100" t="str">
        <f>"5220234925"</f>
        <v>5220234925</v>
      </c>
      <c r="AJ100" s="1">
        <v>44914</v>
      </c>
      <c r="AL100" s="2">
        <v>2316.7600000000002</v>
      </c>
      <c r="AM100" t="str">
        <f>"8670059315"</f>
        <v>8670059315</v>
      </c>
      <c r="AN100">
        <v>2023</v>
      </c>
      <c r="AO100">
        <v>19</v>
      </c>
      <c r="AP100" s="2">
        <v>2316.7600000000002</v>
      </c>
      <c r="AQ100">
        <v>0</v>
      </c>
      <c r="AR100" s="2">
        <v>11297.11</v>
      </c>
      <c r="AS100" t="s">
        <v>194</v>
      </c>
      <c r="AT100">
        <v>2102.94</v>
      </c>
      <c r="AU100">
        <v>210.29</v>
      </c>
      <c r="AV100">
        <v>2023</v>
      </c>
      <c r="AW100">
        <v>15</v>
      </c>
      <c r="AX100">
        <v>670</v>
      </c>
      <c r="AY100">
        <v>0</v>
      </c>
      <c r="AZ100" t="s">
        <v>201</v>
      </c>
      <c r="BA100">
        <v>2316.7600000000002</v>
      </c>
      <c r="BB100" s="1">
        <v>44949</v>
      </c>
    </row>
    <row r="101" spans="1:54" x14ac:dyDescent="0.25">
      <c r="A101">
        <v>2023</v>
      </c>
      <c r="B101">
        <v>39</v>
      </c>
      <c r="C101" s="1">
        <v>44949</v>
      </c>
      <c r="D101">
        <v>2023</v>
      </c>
      <c r="E101">
        <v>2022</v>
      </c>
      <c r="F101">
        <v>720</v>
      </c>
      <c r="H101" t="s">
        <v>200</v>
      </c>
      <c r="I101">
        <v>130</v>
      </c>
      <c r="J101">
        <v>0</v>
      </c>
      <c r="K101" t="s">
        <v>128</v>
      </c>
      <c r="R101" t="s">
        <v>190</v>
      </c>
      <c r="S101" t="str">
        <f t="shared" si="9"/>
        <v>31</v>
      </c>
      <c r="T101" t="s">
        <v>122</v>
      </c>
      <c r="W101" t="s">
        <v>198</v>
      </c>
      <c r="Y101">
        <v>3344</v>
      </c>
      <c r="Z101" t="s">
        <v>192</v>
      </c>
      <c r="AB101" t="str">
        <f t="shared" si="8"/>
        <v>02616630022</v>
      </c>
      <c r="AC101" t="s">
        <v>116</v>
      </c>
      <c r="AD101" t="s">
        <v>193</v>
      </c>
      <c r="AF101">
        <v>2022</v>
      </c>
      <c r="AG101">
        <v>3872</v>
      </c>
      <c r="AH101" t="str">
        <f t="shared" si="10"/>
        <v>1</v>
      </c>
      <c r="AI101" t="str">
        <f>"5220234948"</f>
        <v>5220234948</v>
      </c>
      <c r="AJ101" s="1">
        <v>44914</v>
      </c>
      <c r="AL101">
        <v>768.29</v>
      </c>
      <c r="AM101" t="str">
        <f>"8669987107"</f>
        <v>8669987107</v>
      </c>
      <c r="AN101">
        <v>2023</v>
      </c>
      <c r="AO101">
        <v>19</v>
      </c>
      <c r="AP101">
        <v>768.29</v>
      </c>
      <c r="AQ101">
        <v>0</v>
      </c>
      <c r="AR101" s="2">
        <v>11297.11</v>
      </c>
      <c r="AS101" t="s">
        <v>194</v>
      </c>
      <c r="AT101">
        <v>683.53</v>
      </c>
      <c r="AU101">
        <v>68.349999999999994</v>
      </c>
      <c r="AV101">
        <v>2023</v>
      </c>
      <c r="AW101">
        <v>15</v>
      </c>
      <c r="AX101">
        <v>670</v>
      </c>
      <c r="AY101">
        <v>0</v>
      </c>
      <c r="AZ101" t="s">
        <v>201</v>
      </c>
      <c r="BA101">
        <v>768.29</v>
      </c>
      <c r="BB101" s="1">
        <v>44949</v>
      </c>
    </row>
    <row r="102" spans="1:54" x14ac:dyDescent="0.25">
      <c r="A102">
        <v>2023</v>
      </c>
      <c r="B102">
        <v>39</v>
      </c>
      <c r="C102" s="1">
        <v>44949</v>
      </c>
      <c r="D102">
        <v>2023</v>
      </c>
      <c r="E102">
        <v>2022</v>
      </c>
      <c r="F102">
        <v>720</v>
      </c>
      <c r="H102" t="s">
        <v>200</v>
      </c>
      <c r="I102">
        <v>130</v>
      </c>
      <c r="J102">
        <v>0</v>
      </c>
      <c r="K102" t="s">
        <v>128</v>
      </c>
      <c r="R102" t="s">
        <v>190</v>
      </c>
      <c r="S102" t="str">
        <f t="shared" si="9"/>
        <v>31</v>
      </c>
      <c r="T102" t="s">
        <v>122</v>
      </c>
      <c r="W102" t="s">
        <v>198</v>
      </c>
      <c r="Y102">
        <v>3344</v>
      </c>
      <c r="Z102" t="s">
        <v>192</v>
      </c>
      <c r="AB102" t="str">
        <f t="shared" si="8"/>
        <v>02616630022</v>
      </c>
      <c r="AC102" t="s">
        <v>116</v>
      </c>
      <c r="AD102" t="s">
        <v>193</v>
      </c>
      <c r="AF102">
        <v>2022</v>
      </c>
      <c r="AG102">
        <v>3873</v>
      </c>
      <c r="AH102" t="str">
        <f t="shared" si="10"/>
        <v>1</v>
      </c>
      <c r="AI102" t="str">
        <f>"5220234967"</f>
        <v>5220234967</v>
      </c>
      <c r="AJ102" s="1">
        <v>44914</v>
      </c>
      <c r="AL102" s="2">
        <v>1220.8399999999999</v>
      </c>
      <c r="AM102" t="str">
        <f>"8670088914"</f>
        <v>8670088914</v>
      </c>
      <c r="AN102">
        <v>2023</v>
      </c>
      <c r="AO102">
        <v>19</v>
      </c>
      <c r="AP102" s="2">
        <v>1220.8399999999999</v>
      </c>
      <c r="AQ102">
        <v>0</v>
      </c>
      <c r="AR102" s="2">
        <v>11297.11</v>
      </c>
      <c r="AS102" t="s">
        <v>194</v>
      </c>
      <c r="AT102">
        <v>1108.17</v>
      </c>
      <c r="AU102">
        <v>110.82</v>
      </c>
      <c r="AV102">
        <v>2023</v>
      </c>
      <c r="AW102">
        <v>15</v>
      </c>
      <c r="AX102">
        <v>670</v>
      </c>
      <c r="AY102">
        <v>0</v>
      </c>
      <c r="AZ102" t="s">
        <v>201</v>
      </c>
      <c r="BA102">
        <v>1220.8399999999999</v>
      </c>
      <c r="BB102" s="1">
        <v>44949</v>
      </c>
    </row>
    <row r="103" spans="1:54" x14ac:dyDescent="0.25">
      <c r="A103">
        <v>2023</v>
      </c>
      <c r="B103">
        <v>39</v>
      </c>
      <c r="C103" s="1">
        <v>44949</v>
      </c>
      <c r="D103">
        <v>2023</v>
      </c>
      <c r="E103">
        <v>2022</v>
      </c>
      <c r="F103">
        <v>720</v>
      </c>
      <c r="H103" t="s">
        <v>200</v>
      </c>
      <c r="I103">
        <v>130</v>
      </c>
      <c r="J103">
        <v>0</v>
      </c>
      <c r="K103" t="s">
        <v>128</v>
      </c>
      <c r="R103" t="s">
        <v>190</v>
      </c>
      <c r="S103" t="str">
        <f t="shared" si="9"/>
        <v>31</v>
      </c>
      <c r="T103" t="s">
        <v>122</v>
      </c>
      <c r="W103" t="s">
        <v>198</v>
      </c>
      <c r="Y103">
        <v>3344</v>
      </c>
      <c r="Z103" t="s">
        <v>192</v>
      </c>
      <c r="AB103" t="str">
        <f t="shared" ref="AB103:AB134" si="11">"02616630022"</f>
        <v>02616630022</v>
      </c>
      <c r="AC103" t="s">
        <v>116</v>
      </c>
      <c r="AD103" t="s">
        <v>193</v>
      </c>
      <c r="AF103">
        <v>2022</v>
      </c>
      <c r="AG103">
        <v>3874</v>
      </c>
      <c r="AH103" t="str">
        <f t="shared" si="10"/>
        <v>1</v>
      </c>
      <c r="AI103" t="str">
        <f>"5220234969"</f>
        <v>5220234969</v>
      </c>
      <c r="AJ103" s="1">
        <v>44914</v>
      </c>
      <c r="AL103">
        <v>27.83</v>
      </c>
      <c r="AM103" t="str">
        <f>"8670094014"</f>
        <v>8670094014</v>
      </c>
      <c r="AN103">
        <v>2023</v>
      </c>
      <c r="AO103">
        <v>19</v>
      </c>
      <c r="AP103">
        <v>27.83</v>
      </c>
      <c r="AQ103">
        <v>0</v>
      </c>
      <c r="AR103" s="2">
        <v>11297.11</v>
      </c>
      <c r="AS103" t="s">
        <v>194</v>
      </c>
      <c r="AT103">
        <v>25.25</v>
      </c>
      <c r="AU103">
        <v>2.5299999999999998</v>
      </c>
      <c r="AV103">
        <v>2023</v>
      </c>
      <c r="AW103">
        <v>15</v>
      </c>
      <c r="AX103">
        <v>670</v>
      </c>
      <c r="AY103">
        <v>0</v>
      </c>
      <c r="AZ103" t="s">
        <v>201</v>
      </c>
      <c r="BA103">
        <v>27.83</v>
      </c>
      <c r="BB103" s="1">
        <v>44949</v>
      </c>
    </row>
    <row r="104" spans="1:54" x14ac:dyDescent="0.25">
      <c r="A104">
        <v>2023</v>
      </c>
      <c r="B104">
        <v>39</v>
      </c>
      <c r="C104" s="1">
        <v>44949</v>
      </c>
      <c r="D104">
        <v>2023</v>
      </c>
      <c r="E104">
        <v>2022</v>
      </c>
      <c r="F104">
        <v>720</v>
      </c>
      <c r="H104" t="s">
        <v>200</v>
      </c>
      <c r="I104">
        <v>130</v>
      </c>
      <c r="J104">
        <v>0</v>
      </c>
      <c r="K104" t="s">
        <v>128</v>
      </c>
      <c r="R104" t="s">
        <v>190</v>
      </c>
      <c r="S104" t="str">
        <f t="shared" si="9"/>
        <v>31</v>
      </c>
      <c r="T104" t="s">
        <v>122</v>
      </c>
      <c r="W104" t="s">
        <v>198</v>
      </c>
      <c r="Y104">
        <v>3344</v>
      </c>
      <c r="Z104" t="s">
        <v>192</v>
      </c>
      <c r="AB104" t="str">
        <f t="shared" si="11"/>
        <v>02616630022</v>
      </c>
      <c r="AC104" t="s">
        <v>116</v>
      </c>
      <c r="AD104" t="s">
        <v>193</v>
      </c>
      <c r="AF104">
        <v>2022</v>
      </c>
      <c r="AG104">
        <v>3876</v>
      </c>
      <c r="AH104" t="str">
        <f t="shared" si="10"/>
        <v>1</v>
      </c>
      <c r="AI104" t="str">
        <f>"5220234993"</f>
        <v>5220234993</v>
      </c>
      <c r="AJ104" s="1">
        <v>44914</v>
      </c>
      <c r="AL104" s="2">
        <v>2879.16</v>
      </c>
      <c r="AM104" t="str">
        <f>"8669996425"</f>
        <v>8669996425</v>
      </c>
      <c r="AN104">
        <v>2023</v>
      </c>
      <c r="AO104">
        <v>19</v>
      </c>
      <c r="AP104" s="2">
        <v>2879.16</v>
      </c>
      <c r="AQ104">
        <v>0</v>
      </c>
      <c r="AR104" s="2">
        <v>11297.11</v>
      </c>
      <c r="AS104" t="s">
        <v>194</v>
      </c>
      <c r="AT104">
        <v>2611.2600000000002</v>
      </c>
      <c r="AU104">
        <v>261.13</v>
      </c>
      <c r="AV104">
        <v>2023</v>
      </c>
      <c r="AW104">
        <v>15</v>
      </c>
      <c r="AX104">
        <v>670</v>
      </c>
      <c r="AY104">
        <v>0</v>
      </c>
      <c r="AZ104" t="s">
        <v>201</v>
      </c>
      <c r="BA104">
        <v>2879.16</v>
      </c>
      <c r="BB104" s="1">
        <v>44949</v>
      </c>
    </row>
    <row r="105" spans="1:54" x14ac:dyDescent="0.25">
      <c r="A105">
        <v>2023</v>
      </c>
      <c r="B105">
        <v>39</v>
      </c>
      <c r="C105" s="1">
        <v>44949</v>
      </c>
      <c r="D105">
        <v>2023</v>
      </c>
      <c r="E105">
        <v>2022</v>
      </c>
      <c r="F105">
        <v>720</v>
      </c>
      <c r="H105" t="s">
        <v>200</v>
      </c>
      <c r="I105">
        <v>130</v>
      </c>
      <c r="J105">
        <v>0</v>
      </c>
      <c r="K105" t="s">
        <v>128</v>
      </c>
      <c r="R105" t="s">
        <v>190</v>
      </c>
      <c r="S105" t="str">
        <f t="shared" si="9"/>
        <v>31</v>
      </c>
      <c r="T105" t="s">
        <v>122</v>
      </c>
      <c r="W105" t="s">
        <v>198</v>
      </c>
      <c r="Y105">
        <v>3344</v>
      </c>
      <c r="Z105" t="s">
        <v>192</v>
      </c>
      <c r="AB105" t="str">
        <f t="shared" si="11"/>
        <v>02616630022</v>
      </c>
      <c r="AC105" t="s">
        <v>116</v>
      </c>
      <c r="AD105" t="s">
        <v>193</v>
      </c>
      <c r="AF105">
        <v>2022</v>
      </c>
      <c r="AG105">
        <v>3877</v>
      </c>
      <c r="AH105" t="str">
        <f t="shared" si="10"/>
        <v>1</v>
      </c>
      <c r="AI105" t="str">
        <f>"5220234973"</f>
        <v>5220234973</v>
      </c>
      <c r="AJ105" s="1">
        <v>44914</v>
      </c>
      <c r="AL105">
        <v>935.23</v>
      </c>
      <c r="AM105" t="str">
        <f>"8670002605"</f>
        <v>8670002605</v>
      </c>
      <c r="AN105">
        <v>2023</v>
      </c>
      <c r="AO105">
        <v>19</v>
      </c>
      <c r="AP105">
        <v>935.23</v>
      </c>
      <c r="AQ105">
        <v>0</v>
      </c>
      <c r="AR105" s="2">
        <v>11297.11</v>
      </c>
      <c r="AS105" t="s">
        <v>194</v>
      </c>
      <c r="AT105">
        <v>850</v>
      </c>
      <c r="AU105">
        <v>85</v>
      </c>
      <c r="AV105">
        <v>2023</v>
      </c>
      <c r="AW105">
        <v>15</v>
      </c>
      <c r="AX105">
        <v>670</v>
      </c>
      <c r="AY105">
        <v>0</v>
      </c>
      <c r="AZ105" t="s">
        <v>201</v>
      </c>
      <c r="BA105">
        <v>935.23</v>
      </c>
      <c r="BB105" s="1">
        <v>44949</v>
      </c>
    </row>
    <row r="106" spans="1:54" x14ac:dyDescent="0.25">
      <c r="A106">
        <v>2023</v>
      </c>
      <c r="B106">
        <v>39</v>
      </c>
      <c r="C106" s="1">
        <v>44949</v>
      </c>
      <c r="D106">
        <v>2023</v>
      </c>
      <c r="E106">
        <v>2022</v>
      </c>
      <c r="F106">
        <v>720</v>
      </c>
      <c r="H106" t="s">
        <v>200</v>
      </c>
      <c r="I106">
        <v>130</v>
      </c>
      <c r="J106">
        <v>0</v>
      </c>
      <c r="K106" t="s">
        <v>128</v>
      </c>
      <c r="R106" t="s">
        <v>190</v>
      </c>
      <c r="S106" t="str">
        <f t="shared" si="9"/>
        <v>31</v>
      </c>
      <c r="T106" t="s">
        <v>122</v>
      </c>
      <c r="W106" t="s">
        <v>198</v>
      </c>
      <c r="Y106">
        <v>3344</v>
      </c>
      <c r="Z106" t="s">
        <v>192</v>
      </c>
      <c r="AB106" t="str">
        <f t="shared" si="11"/>
        <v>02616630022</v>
      </c>
      <c r="AC106" t="s">
        <v>116</v>
      </c>
      <c r="AD106" t="s">
        <v>193</v>
      </c>
      <c r="AF106">
        <v>2022</v>
      </c>
      <c r="AG106">
        <v>3878</v>
      </c>
      <c r="AH106" t="str">
        <f t="shared" si="10"/>
        <v>1</v>
      </c>
      <c r="AI106" t="str">
        <f>"5220234950"</f>
        <v>5220234950</v>
      </c>
      <c r="AJ106" s="1">
        <v>44914</v>
      </c>
      <c r="AL106" s="2">
        <v>5342.5</v>
      </c>
      <c r="AM106" t="str">
        <f>"8670013509"</f>
        <v>8670013509</v>
      </c>
      <c r="AN106">
        <v>2023</v>
      </c>
      <c r="AO106">
        <v>19</v>
      </c>
      <c r="AP106" s="2">
        <v>5342.5</v>
      </c>
      <c r="AQ106">
        <v>0</v>
      </c>
      <c r="AR106" s="2">
        <v>11297.11</v>
      </c>
      <c r="AS106" t="s">
        <v>194</v>
      </c>
      <c r="AT106">
        <v>4848.5200000000004</v>
      </c>
      <c r="AU106">
        <v>484.85</v>
      </c>
      <c r="AV106">
        <v>2023</v>
      </c>
      <c r="AW106">
        <v>15</v>
      </c>
      <c r="AX106">
        <v>670</v>
      </c>
      <c r="AY106">
        <v>0</v>
      </c>
      <c r="AZ106" t="s">
        <v>201</v>
      </c>
      <c r="BA106">
        <v>5342.5</v>
      </c>
      <c r="BB106" s="1">
        <v>44949</v>
      </c>
    </row>
    <row r="107" spans="1:54" x14ac:dyDescent="0.25">
      <c r="A107">
        <v>2023</v>
      </c>
      <c r="B107">
        <v>39</v>
      </c>
      <c r="C107" s="1">
        <v>44949</v>
      </c>
      <c r="D107">
        <v>2023</v>
      </c>
      <c r="E107">
        <v>2022</v>
      </c>
      <c r="F107">
        <v>720</v>
      </c>
      <c r="H107" t="s">
        <v>200</v>
      </c>
      <c r="I107">
        <v>130</v>
      </c>
      <c r="J107">
        <v>0</v>
      </c>
      <c r="K107" t="s">
        <v>128</v>
      </c>
      <c r="R107" t="s">
        <v>190</v>
      </c>
      <c r="S107" t="str">
        <f t="shared" si="9"/>
        <v>31</v>
      </c>
      <c r="T107" t="s">
        <v>122</v>
      </c>
      <c r="W107" t="s">
        <v>198</v>
      </c>
      <c r="Y107">
        <v>3344</v>
      </c>
      <c r="Z107" t="s">
        <v>192</v>
      </c>
      <c r="AB107" t="str">
        <f t="shared" si="11"/>
        <v>02616630022</v>
      </c>
      <c r="AC107" t="s">
        <v>116</v>
      </c>
      <c r="AD107" t="s">
        <v>193</v>
      </c>
      <c r="AF107">
        <v>2022</v>
      </c>
      <c r="AG107">
        <v>3879</v>
      </c>
      <c r="AH107" t="str">
        <f t="shared" si="10"/>
        <v>1</v>
      </c>
      <c r="AI107" t="str">
        <f>"5220234964"</f>
        <v>5220234964</v>
      </c>
      <c r="AJ107" s="1">
        <v>44914</v>
      </c>
      <c r="AL107" s="2">
        <v>5993.01</v>
      </c>
      <c r="AM107" t="str">
        <f>"8670090207"</f>
        <v>8670090207</v>
      </c>
      <c r="AN107">
        <v>2023</v>
      </c>
      <c r="AO107">
        <v>19</v>
      </c>
      <c r="AP107" s="2">
        <v>5993.01</v>
      </c>
      <c r="AQ107">
        <v>0</v>
      </c>
      <c r="AR107" s="2">
        <v>11297.11</v>
      </c>
      <c r="AS107" t="s">
        <v>194</v>
      </c>
      <c r="AT107">
        <v>5413.94</v>
      </c>
      <c r="AU107">
        <v>541.39</v>
      </c>
      <c r="AV107">
        <v>2023</v>
      </c>
      <c r="AW107">
        <v>15</v>
      </c>
      <c r="AX107">
        <v>670</v>
      </c>
      <c r="AY107">
        <v>0</v>
      </c>
      <c r="AZ107" t="s">
        <v>201</v>
      </c>
      <c r="BA107">
        <v>5993.01</v>
      </c>
      <c r="BB107" s="1">
        <v>44949</v>
      </c>
    </row>
    <row r="108" spans="1:54" x14ac:dyDescent="0.25">
      <c r="A108">
        <v>2023</v>
      </c>
      <c r="B108">
        <v>39</v>
      </c>
      <c r="C108" s="1">
        <v>44949</v>
      </c>
      <c r="D108">
        <v>2023</v>
      </c>
      <c r="E108">
        <v>2022</v>
      </c>
      <c r="F108">
        <v>720</v>
      </c>
      <c r="H108" t="s">
        <v>200</v>
      </c>
      <c r="I108">
        <v>130</v>
      </c>
      <c r="J108">
        <v>0</v>
      </c>
      <c r="K108" t="s">
        <v>128</v>
      </c>
      <c r="R108" t="s">
        <v>190</v>
      </c>
      <c r="S108" t="str">
        <f t="shared" si="9"/>
        <v>31</v>
      </c>
      <c r="T108" t="s">
        <v>122</v>
      </c>
      <c r="W108" t="s">
        <v>198</v>
      </c>
      <c r="Y108">
        <v>3344</v>
      </c>
      <c r="Z108" t="s">
        <v>192</v>
      </c>
      <c r="AB108" t="str">
        <f t="shared" si="11"/>
        <v>02616630022</v>
      </c>
      <c r="AC108" t="s">
        <v>116</v>
      </c>
      <c r="AD108" t="s">
        <v>193</v>
      </c>
      <c r="AF108">
        <v>2022</v>
      </c>
      <c r="AG108">
        <v>3880</v>
      </c>
      <c r="AH108" t="str">
        <f t="shared" si="10"/>
        <v>1</v>
      </c>
      <c r="AI108" t="str">
        <f>"5220235002"</f>
        <v>5220235002</v>
      </c>
      <c r="AJ108" s="1">
        <v>44914</v>
      </c>
      <c r="AL108">
        <v>514.71</v>
      </c>
      <c r="AM108" t="str">
        <f>"8670087306"</f>
        <v>8670087306</v>
      </c>
      <c r="AN108">
        <v>2023</v>
      </c>
      <c r="AO108">
        <v>19</v>
      </c>
      <c r="AP108">
        <v>514.71</v>
      </c>
      <c r="AQ108">
        <v>0</v>
      </c>
      <c r="AR108" s="2">
        <v>11297.11</v>
      </c>
      <c r="AS108" t="s">
        <v>194</v>
      </c>
      <c r="AT108">
        <v>467.22</v>
      </c>
      <c r="AU108">
        <v>46.72</v>
      </c>
      <c r="AV108">
        <v>2023</v>
      </c>
      <c r="AW108">
        <v>15</v>
      </c>
      <c r="AX108">
        <v>670</v>
      </c>
      <c r="AY108">
        <v>0</v>
      </c>
      <c r="AZ108" t="s">
        <v>201</v>
      </c>
      <c r="BA108">
        <v>514.71</v>
      </c>
      <c r="BB108" s="1">
        <v>44949</v>
      </c>
    </row>
    <row r="109" spans="1:54" x14ac:dyDescent="0.25">
      <c r="A109">
        <v>2023</v>
      </c>
      <c r="B109">
        <v>39</v>
      </c>
      <c r="C109" s="1">
        <v>44949</v>
      </c>
      <c r="D109">
        <v>2023</v>
      </c>
      <c r="E109">
        <v>2022</v>
      </c>
      <c r="F109">
        <v>720</v>
      </c>
      <c r="H109" t="s">
        <v>200</v>
      </c>
      <c r="I109">
        <v>130</v>
      </c>
      <c r="J109">
        <v>0</v>
      </c>
      <c r="K109" t="s">
        <v>128</v>
      </c>
      <c r="R109" t="s">
        <v>190</v>
      </c>
      <c r="S109" t="str">
        <f t="shared" si="9"/>
        <v>31</v>
      </c>
      <c r="T109" t="s">
        <v>122</v>
      </c>
      <c r="W109" t="s">
        <v>198</v>
      </c>
      <c r="Y109">
        <v>3344</v>
      </c>
      <c r="Z109" t="s">
        <v>192</v>
      </c>
      <c r="AB109" t="str">
        <f t="shared" si="11"/>
        <v>02616630022</v>
      </c>
      <c r="AC109" t="s">
        <v>116</v>
      </c>
      <c r="AD109" t="s">
        <v>193</v>
      </c>
      <c r="AF109">
        <v>2022</v>
      </c>
      <c r="AG109">
        <v>3881</v>
      </c>
      <c r="AH109" t="str">
        <f t="shared" si="10"/>
        <v>1</v>
      </c>
      <c r="AI109" t="str">
        <f>"5220234936"</f>
        <v>5220234936</v>
      </c>
      <c r="AJ109" s="1">
        <v>44914</v>
      </c>
      <c r="AK109" t="s">
        <v>202</v>
      </c>
      <c r="AL109" s="2">
        <v>32591.74</v>
      </c>
      <c r="AM109" t="str">
        <f>"8670093722"</f>
        <v>8670093722</v>
      </c>
      <c r="AN109">
        <v>2023</v>
      </c>
      <c r="AO109">
        <v>19</v>
      </c>
      <c r="AP109" s="2">
        <v>32591.74</v>
      </c>
      <c r="AQ109">
        <v>0</v>
      </c>
      <c r="AR109" s="2">
        <v>11297.11</v>
      </c>
      <c r="AS109" t="s">
        <v>194</v>
      </c>
      <c r="AT109">
        <v>29541.88</v>
      </c>
      <c r="AU109">
        <v>2954.19</v>
      </c>
      <c r="AV109">
        <v>2023</v>
      </c>
      <c r="AW109">
        <v>15</v>
      </c>
      <c r="AX109">
        <v>670</v>
      </c>
      <c r="AY109">
        <v>0</v>
      </c>
      <c r="AZ109" t="s">
        <v>201</v>
      </c>
      <c r="BA109">
        <v>32591.74</v>
      </c>
      <c r="BB109" s="1">
        <v>44949</v>
      </c>
    </row>
    <row r="110" spans="1:54" x14ac:dyDescent="0.25">
      <c r="A110">
        <v>2023</v>
      </c>
      <c r="B110">
        <v>39</v>
      </c>
      <c r="C110" s="1">
        <v>44949</v>
      </c>
      <c r="D110">
        <v>2023</v>
      </c>
      <c r="E110">
        <v>2022</v>
      </c>
      <c r="F110">
        <v>720</v>
      </c>
      <c r="H110" t="s">
        <v>200</v>
      </c>
      <c r="I110">
        <v>130</v>
      </c>
      <c r="J110">
        <v>0</v>
      </c>
      <c r="K110" t="s">
        <v>128</v>
      </c>
      <c r="R110" t="s">
        <v>190</v>
      </c>
      <c r="S110" t="str">
        <f t="shared" si="9"/>
        <v>31</v>
      </c>
      <c r="T110" t="s">
        <v>122</v>
      </c>
      <c r="W110" t="s">
        <v>198</v>
      </c>
      <c r="Y110">
        <v>3344</v>
      </c>
      <c r="Z110" t="s">
        <v>192</v>
      </c>
      <c r="AB110" t="str">
        <f t="shared" si="11"/>
        <v>02616630022</v>
      </c>
      <c r="AC110" t="s">
        <v>116</v>
      </c>
      <c r="AD110" t="s">
        <v>193</v>
      </c>
      <c r="AF110">
        <v>2022</v>
      </c>
      <c r="AG110">
        <v>3882</v>
      </c>
      <c r="AH110" t="str">
        <f t="shared" si="10"/>
        <v>1</v>
      </c>
      <c r="AI110" t="str">
        <f>"5220234987"</f>
        <v>5220234987</v>
      </c>
      <c r="AJ110" s="1">
        <v>44914</v>
      </c>
      <c r="AL110">
        <v>609.09</v>
      </c>
      <c r="AM110" t="str">
        <f>"8670036328"</f>
        <v>8670036328</v>
      </c>
      <c r="AN110">
        <v>2023</v>
      </c>
      <c r="AO110">
        <v>19</v>
      </c>
      <c r="AP110">
        <v>609.09</v>
      </c>
      <c r="AQ110">
        <v>0</v>
      </c>
      <c r="AR110" s="2">
        <v>11297.11</v>
      </c>
      <c r="AS110" t="s">
        <v>194</v>
      </c>
      <c r="AT110">
        <v>553.5</v>
      </c>
      <c r="AU110">
        <v>55.35</v>
      </c>
      <c r="AV110">
        <v>2023</v>
      </c>
      <c r="AW110">
        <v>15</v>
      </c>
      <c r="AX110">
        <v>670</v>
      </c>
      <c r="AY110">
        <v>0</v>
      </c>
      <c r="AZ110" t="s">
        <v>201</v>
      </c>
      <c r="BA110">
        <v>609.09</v>
      </c>
      <c r="BB110" s="1">
        <v>44949</v>
      </c>
    </row>
    <row r="111" spans="1:54" x14ac:dyDescent="0.25">
      <c r="A111">
        <v>2023</v>
      </c>
      <c r="B111">
        <v>39</v>
      </c>
      <c r="C111" s="1">
        <v>44949</v>
      </c>
      <c r="D111">
        <v>2023</v>
      </c>
      <c r="E111">
        <v>2022</v>
      </c>
      <c r="F111">
        <v>720</v>
      </c>
      <c r="H111" t="s">
        <v>200</v>
      </c>
      <c r="I111">
        <v>130</v>
      </c>
      <c r="J111">
        <v>0</v>
      </c>
      <c r="K111" t="s">
        <v>128</v>
      </c>
      <c r="R111" t="s">
        <v>190</v>
      </c>
      <c r="S111" t="str">
        <f t="shared" si="9"/>
        <v>31</v>
      </c>
      <c r="T111" t="s">
        <v>122</v>
      </c>
      <c r="W111" t="s">
        <v>198</v>
      </c>
      <c r="Y111">
        <v>3344</v>
      </c>
      <c r="Z111" t="s">
        <v>192</v>
      </c>
      <c r="AB111" t="str">
        <f t="shared" si="11"/>
        <v>02616630022</v>
      </c>
      <c r="AC111" t="s">
        <v>116</v>
      </c>
      <c r="AD111" t="s">
        <v>193</v>
      </c>
      <c r="AF111">
        <v>2022</v>
      </c>
      <c r="AG111">
        <v>3883</v>
      </c>
      <c r="AH111" t="str">
        <f t="shared" si="10"/>
        <v>1</v>
      </c>
      <c r="AI111" t="str">
        <f>"5220234989"</f>
        <v>5220234989</v>
      </c>
      <c r="AJ111" s="1">
        <v>44914</v>
      </c>
      <c r="AL111" s="2">
        <v>1183.94</v>
      </c>
      <c r="AM111" t="str">
        <f>"8670038503"</f>
        <v>8670038503</v>
      </c>
      <c r="AN111">
        <v>2023</v>
      </c>
      <c r="AO111">
        <v>19</v>
      </c>
      <c r="AP111" s="2">
        <v>1183.94</v>
      </c>
      <c r="AQ111">
        <v>0</v>
      </c>
      <c r="AR111" s="2">
        <v>11297.11</v>
      </c>
      <c r="AS111" t="s">
        <v>194</v>
      </c>
      <c r="AT111">
        <v>1073.27</v>
      </c>
      <c r="AU111">
        <v>107.33</v>
      </c>
      <c r="AV111">
        <v>2023</v>
      </c>
      <c r="AW111">
        <v>15</v>
      </c>
      <c r="AX111">
        <v>670</v>
      </c>
      <c r="AY111">
        <v>0</v>
      </c>
      <c r="AZ111" t="s">
        <v>201</v>
      </c>
      <c r="BA111">
        <v>1183.94</v>
      </c>
      <c r="BB111" s="1">
        <v>44949</v>
      </c>
    </row>
    <row r="112" spans="1:54" x14ac:dyDescent="0.25">
      <c r="A112">
        <v>2023</v>
      </c>
      <c r="B112">
        <v>39</v>
      </c>
      <c r="C112" s="1">
        <v>44949</v>
      </c>
      <c r="D112">
        <v>2023</v>
      </c>
      <c r="E112">
        <v>2022</v>
      </c>
      <c r="F112">
        <v>720</v>
      </c>
      <c r="H112" t="s">
        <v>200</v>
      </c>
      <c r="I112">
        <v>130</v>
      </c>
      <c r="J112">
        <v>0</v>
      </c>
      <c r="K112" t="s">
        <v>128</v>
      </c>
      <c r="R112" t="s">
        <v>190</v>
      </c>
      <c r="S112" t="str">
        <f t="shared" si="9"/>
        <v>31</v>
      </c>
      <c r="T112" t="s">
        <v>122</v>
      </c>
      <c r="W112" t="s">
        <v>198</v>
      </c>
      <c r="Y112">
        <v>3344</v>
      </c>
      <c r="Z112" t="s">
        <v>192</v>
      </c>
      <c r="AB112" t="str">
        <f t="shared" si="11"/>
        <v>02616630022</v>
      </c>
      <c r="AC112" t="s">
        <v>116</v>
      </c>
      <c r="AD112" t="s">
        <v>193</v>
      </c>
      <c r="AF112">
        <v>2022</v>
      </c>
      <c r="AG112">
        <v>3884</v>
      </c>
      <c r="AH112" t="str">
        <f t="shared" si="10"/>
        <v>1</v>
      </c>
      <c r="AI112" t="str">
        <f>"5220234991"</f>
        <v>5220234991</v>
      </c>
      <c r="AJ112" s="1">
        <v>44914</v>
      </c>
      <c r="AL112">
        <v>702.87</v>
      </c>
      <c r="AM112" t="str">
        <f>"8670072414"</f>
        <v>8670072414</v>
      </c>
      <c r="AN112">
        <v>2023</v>
      </c>
      <c r="AO112">
        <v>19</v>
      </c>
      <c r="AP112">
        <v>702.87</v>
      </c>
      <c r="AQ112">
        <v>0</v>
      </c>
      <c r="AR112" s="2">
        <v>11297.11</v>
      </c>
      <c r="AS112" t="s">
        <v>194</v>
      </c>
      <c r="AT112">
        <v>633.66</v>
      </c>
      <c r="AU112">
        <v>63.37</v>
      </c>
      <c r="AV112">
        <v>2023</v>
      </c>
      <c r="AW112">
        <v>15</v>
      </c>
      <c r="AX112">
        <v>670</v>
      </c>
      <c r="AY112">
        <v>0</v>
      </c>
      <c r="AZ112" t="s">
        <v>201</v>
      </c>
      <c r="BA112">
        <v>702.87</v>
      </c>
      <c r="BB112" s="1">
        <v>44949</v>
      </c>
    </row>
    <row r="113" spans="1:54" x14ac:dyDescent="0.25">
      <c r="A113">
        <v>2023</v>
      </c>
      <c r="B113">
        <v>39</v>
      </c>
      <c r="C113" s="1">
        <v>44949</v>
      </c>
      <c r="D113">
        <v>2023</v>
      </c>
      <c r="E113">
        <v>2022</v>
      </c>
      <c r="F113">
        <v>720</v>
      </c>
      <c r="H113" t="s">
        <v>200</v>
      </c>
      <c r="I113">
        <v>130</v>
      </c>
      <c r="J113">
        <v>0</v>
      </c>
      <c r="K113" t="s">
        <v>128</v>
      </c>
      <c r="R113" t="s">
        <v>190</v>
      </c>
      <c r="S113" t="str">
        <f t="shared" si="9"/>
        <v>31</v>
      </c>
      <c r="T113" t="s">
        <v>122</v>
      </c>
      <c r="W113" t="s">
        <v>198</v>
      </c>
      <c r="Y113">
        <v>3344</v>
      </c>
      <c r="Z113" t="s">
        <v>192</v>
      </c>
      <c r="AB113" t="str">
        <f t="shared" si="11"/>
        <v>02616630022</v>
      </c>
      <c r="AC113" t="s">
        <v>116</v>
      </c>
      <c r="AD113" t="s">
        <v>193</v>
      </c>
      <c r="AF113">
        <v>2022</v>
      </c>
      <c r="AG113">
        <v>3885</v>
      </c>
      <c r="AH113" t="str">
        <f t="shared" si="10"/>
        <v>1</v>
      </c>
      <c r="AI113" t="str">
        <f>"5220234992"</f>
        <v>5220234992</v>
      </c>
      <c r="AJ113" s="1">
        <v>44914</v>
      </c>
      <c r="AL113" s="2">
        <v>2107.0500000000002</v>
      </c>
      <c r="AM113" t="str">
        <f>"8670084329"</f>
        <v>8670084329</v>
      </c>
      <c r="AN113">
        <v>2023</v>
      </c>
      <c r="AO113">
        <v>19</v>
      </c>
      <c r="AP113" s="2">
        <v>2107.0500000000002</v>
      </c>
      <c r="AQ113">
        <v>0</v>
      </c>
      <c r="AR113" s="2">
        <v>11297.11</v>
      </c>
      <c r="AS113" t="s">
        <v>194</v>
      </c>
      <c r="AT113">
        <v>1911.95</v>
      </c>
      <c r="AU113">
        <v>191.2</v>
      </c>
      <c r="AV113">
        <v>2023</v>
      </c>
      <c r="AW113">
        <v>15</v>
      </c>
      <c r="AX113">
        <v>670</v>
      </c>
      <c r="AY113">
        <v>0</v>
      </c>
      <c r="AZ113" t="s">
        <v>201</v>
      </c>
      <c r="BA113">
        <v>2107.0500000000002</v>
      </c>
      <c r="BB113" s="1">
        <v>44949</v>
      </c>
    </row>
    <row r="114" spans="1:54" x14ac:dyDescent="0.25">
      <c r="A114">
        <v>2023</v>
      </c>
      <c r="B114">
        <v>39</v>
      </c>
      <c r="C114" s="1">
        <v>44949</v>
      </c>
      <c r="D114">
        <v>2023</v>
      </c>
      <c r="E114">
        <v>2022</v>
      </c>
      <c r="F114">
        <v>720</v>
      </c>
      <c r="H114" t="s">
        <v>200</v>
      </c>
      <c r="I114">
        <v>130</v>
      </c>
      <c r="J114">
        <v>0</v>
      </c>
      <c r="K114" t="s">
        <v>128</v>
      </c>
      <c r="R114" t="s">
        <v>190</v>
      </c>
      <c r="S114" t="str">
        <f t="shared" si="9"/>
        <v>31</v>
      </c>
      <c r="T114" t="s">
        <v>122</v>
      </c>
      <c r="W114" t="s">
        <v>198</v>
      </c>
      <c r="Y114">
        <v>3344</v>
      </c>
      <c r="Z114" t="s">
        <v>192</v>
      </c>
      <c r="AB114" t="str">
        <f t="shared" si="11"/>
        <v>02616630022</v>
      </c>
      <c r="AC114" t="s">
        <v>116</v>
      </c>
      <c r="AD114" t="s">
        <v>193</v>
      </c>
      <c r="AF114">
        <v>2022</v>
      </c>
      <c r="AG114">
        <v>3886</v>
      </c>
      <c r="AH114" t="str">
        <f t="shared" si="10"/>
        <v>1</v>
      </c>
      <c r="AI114" t="str">
        <f>"5220234966"</f>
        <v>5220234966</v>
      </c>
      <c r="AJ114" s="1">
        <v>44914</v>
      </c>
      <c r="AL114" s="2">
        <v>5793.93</v>
      </c>
      <c r="AM114" t="str">
        <f>"8670086032"</f>
        <v>8670086032</v>
      </c>
      <c r="AN114">
        <v>2023</v>
      </c>
      <c r="AO114">
        <v>19</v>
      </c>
      <c r="AP114" s="2">
        <v>5793.93</v>
      </c>
      <c r="AQ114">
        <v>0</v>
      </c>
      <c r="AR114" s="2">
        <v>11297.11</v>
      </c>
      <c r="AS114" t="s">
        <v>194</v>
      </c>
      <c r="AT114">
        <v>5247.58</v>
      </c>
      <c r="AU114">
        <v>524.76</v>
      </c>
      <c r="AV114">
        <v>2023</v>
      </c>
      <c r="AW114">
        <v>15</v>
      </c>
      <c r="AX114">
        <v>670</v>
      </c>
      <c r="AY114">
        <v>0</v>
      </c>
      <c r="AZ114" t="s">
        <v>201</v>
      </c>
      <c r="BA114">
        <v>5793.93</v>
      </c>
      <c r="BB114" s="1">
        <v>44949</v>
      </c>
    </row>
    <row r="115" spans="1:54" x14ac:dyDescent="0.25">
      <c r="A115">
        <v>2023</v>
      </c>
      <c r="B115">
        <v>39</v>
      </c>
      <c r="C115" s="1">
        <v>44949</v>
      </c>
      <c r="D115">
        <v>2023</v>
      </c>
      <c r="E115">
        <v>2022</v>
      </c>
      <c r="F115">
        <v>720</v>
      </c>
      <c r="H115" t="s">
        <v>200</v>
      </c>
      <c r="I115">
        <v>130</v>
      </c>
      <c r="J115">
        <v>0</v>
      </c>
      <c r="K115" t="s">
        <v>128</v>
      </c>
      <c r="R115" t="s">
        <v>190</v>
      </c>
      <c r="S115" t="str">
        <f t="shared" si="9"/>
        <v>31</v>
      </c>
      <c r="T115" t="s">
        <v>122</v>
      </c>
      <c r="W115" t="s">
        <v>198</v>
      </c>
      <c r="Y115">
        <v>3344</v>
      </c>
      <c r="Z115" t="s">
        <v>192</v>
      </c>
      <c r="AB115" t="str">
        <f t="shared" si="11"/>
        <v>02616630022</v>
      </c>
      <c r="AC115" t="s">
        <v>116</v>
      </c>
      <c r="AD115" t="s">
        <v>193</v>
      </c>
      <c r="AF115">
        <v>2022</v>
      </c>
      <c r="AG115">
        <v>3887</v>
      </c>
      <c r="AH115" t="str">
        <f t="shared" si="10"/>
        <v>1</v>
      </c>
      <c r="AI115" t="str">
        <f>"5220234965"</f>
        <v>5220234965</v>
      </c>
      <c r="AJ115" s="1">
        <v>44914</v>
      </c>
      <c r="AL115">
        <v>639.05999999999995</v>
      </c>
      <c r="AM115" t="str">
        <f>"8670079634"</f>
        <v>8670079634</v>
      </c>
      <c r="AN115">
        <v>2023</v>
      </c>
      <c r="AO115">
        <v>19</v>
      </c>
      <c r="AP115">
        <v>639.05999999999995</v>
      </c>
      <c r="AQ115">
        <v>0</v>
      </c>
      <c r="AR115" s="2">
        <v>11297.11</v>
      </c>
      <c r="AS115" t="s">
        <v>194</v>
      </c>
      <c r="AT115">
        <v>578.82000000000005</v>
      </c>
      <c r="AU115">
        <v>57.88</v>
      </c>
      <c r="AV115">
        <v>2023</v>
      </c>
      <c r="AW115">
        <v>15</v>
      </c>
      <c r="AX115">
        <v>670</v>
      </c>
      <c r="AY115">
        <v>0</v>
      </c>
      <c r="AZ115" t="s">
        <v>201</v>
      </c>
      <c r="BA115">
        <v>639.05999999999995</v>
      </c>
      <c r="BB115" s="1">
        <v>44949</v>
      </c>
    </row>
    <row r="116" spans="1:54" x14ac:dyDescent="0.25">
      <c r="A116">
        <v>2023</v>
      </c>
      <c r="B116">
        <v>39</v>
      </c>
      <c r="C116" s="1">
        <v>44949</v>
      </c>
      <c r="D116">
        <v>2023</v>
      </c>
      <c r="E116">
        <v>2022</v>
      </c>
      <c r="F116">
        <v>720</v>
      </c>
      <c r="H116" t="s">
        <v>200</v>
      </c>
      <c r="I116">
        <v>130</v>
      </c>
      <c r="J116">
        <v>0</v>
      </c>
      <c r="K116" t="s">
        <v>128</v>
      </c>
      <c r="R116" t="s">
        <v>190</v>
      </c>
      <c r="S116" t="str">
        <f t="shared" si="9"/>
        <v>31</v>
      </c>
      <c r="T116" t="s">
        <v>122</v>
      </c>
      <c r="W116" t="s">
        <v>198</v>
      </c>
      <c r="Y116">
        <v>3344</v>
      </c>
      <c r="Z116" t="s">
        <v>192</v>
      </c>
      <c r="AB116" t="str">
        <f t="shared" si="11"/>
        <v>02616630022</v>
      </c>
      <c r="AC116" t="s">
        <v>116</v>
      </c>
      <c r="AD116" t="s">
        <v>193</v>
      </c>
      <c r="AF116">
        <v>2022</v>
      </c>
      <c r="AG116">
        <v>3889</v>
      </c>
      <c r="AH116" t="str">
        <f t="shared" si="10"/>
        <v>1</v>
      </c>
      <c r="AI116" t="str">
        <f>"5220235035"</f>
        <v>5220235035</v>
      </c>
      <c r="AJ116" s="1">
        <v>44914</v>
      </c>
      <c r="AL116">
        <v>44.13</v>
      </c>
      <c r="AM116" t="str">
        <f>"8669870236"</f>
        <v>8669870236</v>
      </c>
      <c r="AN116">
        <v>2023</v>
      </c>
      <c r="AO116">
        <v>19</v>
      </c>
      <c r="AP116">
        <v>44.13</v>
      </c>
      <c r="AQ116">
        <v>0</v>
      </c>
      <c r="AR116" s="2">
        <v>11297.11</v>
      </c>
      <c r="AS116" t="s">
        <v>194</v>
      </c>
      <c r="AT116">
        <v>39.24</v>
      </c>
      <c r="AU116">
        <v>3.92</v>
      </c>
      <c r="AV116">
        <v>2023</v>
      </c>
      <c r="AW116">
        <v>15</v>
      </c>
      <c r="AX116">
        <v>670</v>
      </c>
      <c r="AY116">
        <v>0</v>
      </c>
      <c r="AZ116" t="s">
        <v>201</v>
      </c>
      <c r="BA116">
        <v>44.13</v>
      </c>
      <c r="BB116" s="1">
        <v>44949</v>
      </c>
    </row>
    <row r="117" spans="1:54" x14ac:dyDescent="0.25">
      <c r="A117">
        <v>2023</v>
      </c>
      <c r="B117">
        <v>39</v>
      </c>
      <c r="C117" s="1">
        <v>44949</v>
      </c>
      <c r="D117">
        <v>2023</v>
      </c>
      <c r="E117">
        <v>2022</v>
      </c>
      <c r="F117">
        <v>720</v>
      </c>
      <c r="H117" t="s">
        <v>200</v>
      </c>
      <c r="I117">
        <v>130</v>
      </c>
      <c r="J117">
        <v>0</v>
      </c>
      <c r="K117" t="s">
        <v>128</v>
      </c>
      <c r="R117" t="s">
        <v>190</v>
      </c>
      <c r="S117" t="str">
        <f t="shared" si="9"/>
        <v>31</v>
      </c>
      <c r="T117" t="s">
        <v>122</v>
      </c>
      <c r="W117" t="s">
        <v>198</v>
      </c>
      <c r="Y117">
        <v>3344</v>
      </c>
      <c r="Z117" t="s">
        <v>192</v>
      </c>
      <c r="AB117" t="str">
        <f t="shared" si="11"/>
        <v>02616630022</v>
      </c>
      <c r="AC117" t="s">
        <v>116</v>
      </c>
      <c r="AD117" t="s">
        <v>193</v>
      </c>
      <c r="AF117">
        <v>2022</v>
      </c>
      <c r="AG117">
        <v>3890</v>
      </c>
      <c r="AH117" t="str">
        <f t="shared" si="10"/>
        <v>1</v>
      </c>
      <c r="AI117" t="str">
        <f>"5220234955"</f>
        <v>5220234955</v>
      </c>
      <c r="AJ117" s="1">
        <v>44914</v>
      </c>
      <c r="AL117">
        <v>17.43</v>
      </c>
      <c r="AM117" t="str">
        <f>"8669980337"</f>
        <v>8669980337</v>
      </c>
      <c r="AN117">
        <v>2023</v>
      </c>
      <c r="AO117">
        <v>19</v>
      </c>
      <c r="AP117">
        <v>17.43</v>
      </c>
      <c r="AQ117">
        <v>0</v>
      </c>
      <c r="AR117" s="2">
        <v>11297.11</v>
      </c>
      <c r="AS117" t="s">
        <v>177</v>
      </c>
      <c r="AT117">
        <v>14.26</v>
      </c>
      <c r="AU117">
        <v>3.14</v>
      </c>
      <c r="AV117">
        <v>2023</v>
      </c>
      <c r="AW117">
        <v>15</v>
      </c>
      <c r="AX117">
        <v>670</v>
      </c>
      <c r="AY117">
        <v>0</v>
      </c>
      <c r="AZ117" t="s">
        <v>201</v>
      </c>
      <c r="BA117">
        <v>17.43</v>
      </c>
      <c r="BB117" s="1">
        <v>44949</v>
      </c>
    </row>
    <row r="118" spans="1:54" x14ac:dyDescent="0.25">
      <c r="A118">
        <v>2023</v>
      </c>
      <c r="B118">
        <v>39</v>
      </c>
      <c r="C118" s="1">
        <v>44949</v>
      </c>
      <c r="D118">
        <v>2023</v>
      </c>
      <c r="E118">
        <v>2022</v>
      </c>
      <c r="F118">
        <v>720</v>
      </c>
      <c r="H118" t="s">
        <v>200</v>
      </c>
      <c r="I118">
        <v>130</v>
      </c>
      <c r="J118">
        <v>0</v>
      </c>
      <c r="K118" t="s">
        <v>128</v>
      </c>
      <c r="R118" t="s">
        <v>190</v>
      </c>
      <c r="S118" t="str">
        <f t="shared" si="9"/>
        <v>31</v>
      </c>
      <c r="T118" t="s">
        <v>122</v>
      </c>
      <c r="W118" t="s">
        <v>198</v>
      </c>
      <c r="Y118">
        <v>3344</v>
      </c>
      <c r="Z118" t="s">
        <v>192</v>
      </c>
      <c r="AB118" t="str">
        <f t="shared" si="11"/>
        <v>02616630022</v>
      </c>
      <c r="AC118" t="s">
        <v>116</v>
      </c>
      <c r="AD118" t="s">
        <v>193</v>
      </c>
      <c r="AF118">
        <v>2022</v>
      </c>
      <c r="AG118">
        <v>3891</v>
      </c>
      <c r="AH118" t="str">
        <f t="shared" si="10"/>
        <v>1</v>
      </c>
      <c r="AI118" t="str">
        <f>"5220235019"</f>
        <v>5220235019</v>
      </c>
      <c r="AJ118" s="1">
        <v>44914</v>
      </c>
      <c r="AL118">
        <v>667.31</v>
      </c>
      <c r="AM118" t="str">
        <f>"8669909037"</f>
        <v>8669909037</v>
      </c>
      <c r="AN118">
        <v>2023</v>
      </c>
      <c r="AO118">
        <v>19</v>
      </c>
      <c r="AP118">
        <v>667.31</v>
      </c>
      <c r="AQ118">
        <v>0</v>
      </c>
      <c r="AR118" s="2">
        <v>11297.11</v>
      </c>
      <c r="AS118" t="s">
        <v>194</v>
      </c>
      <c r="AT118">
        <v>606.32000000000005</v>
      </c>
      <c r="AU118">
        <v>60.63</v>
      </c>
      <c r="AV118">
        <v>2023</v>
      </c>
      <c r="AW118">
        <v>15</v>
      </c>
      <c r="AX118">
        <v>670</v>
      </c>
      <c r="AY118">
        <v>0</v>
      </c>
      <c r="AZ118" t="s">
        <v>201</v>
      </c>
      <c r="BA118">
        <v>667.31</v>
      </c>
      <c r="BB118" s="1">
        <v>44949</v>
      </c>
    </row>
    <row r="119" spans="1:54" x14ac:dyDescent="0.25">
      <c r="A119">
        <v>2023</v>
      </c>
      <c r="B119">
        <v>39</v>
      </c>
      <c r="C119" s="1">
        <v>44949</v>
      </c>
      <c r="D119">
        <v>2023</v>
      </c>
      <c r="E119">
        <v>2022</v>
      </c>
      <c r="F119">
        <v>720</v>
      </c>
      <c r="H119" t="s">
        <v>200</v>
      </c>
      <c r="I119">
        <v>130</v>
      </c>
      <c r="J119">
        <v>0</v>
      </c>
      <c r="K119" t="s">
        <v>128</v>
      </c>
      <c r="R119" t="s">
        <v>190</v>
      </c>
      <c r="S119" t="str">
        <f t="shared" si="9"/>
        <v>31</v>
      </c>
      <c r="T119" t="s">
        <v>122</v>
      </c>
      <c r="W119" t="s">
        <v>198</v>
      </c>
      <c r="Y119">
        <v>3344</v>
      </c>
      <c r="Z119" t="s">
        <v>192</v>
      </c>
      <c r="AB119" t="str">
        <f t="shared" si="11"/>
        <v>02616630022</v>
      </c>
      <c r="AC119" t="s">
        <v>116</v>
      </c>
      <c r="AD119" t="s">
        <v>193</v>
      </c>
      <c r="AF119">
        <v>2022</v>
      </c>
      <c r="AG119">
        <v>3892</v>
      </c>
      <c r="AH119" t="str">
        <f t="shared" si="10"/>
        <v>1</v>
      </c>
      <c r="AI119" t="str">
        <f>"5220235006"</f>
        <v>5220235006</v>
      </c>
      <c r="AJ119" s="1">
        <v>44914</v>
      </c>
      <c r="AL119">
        <v>29.56</v>
      </c>
      <c r="AM119" t="str">
        <f>"8670004638"</f>
        <v>8670004638</v>
      </c>
      <c r="AN119">
        <v>2023</v>
      </c>
      <c r="AO119">
        <v>19</v>
      </c>
      <c r="AP119">
        <v>29.56</v>
      </c>
      <c r="AQ119">
        <v>0</v>
      </c>
      <c r="AR119" s="2">
        <v>11297.11</v>
      </c>
      <c r="AS119" t="s">
        <v>194</v>
      </c>
      <c r="AT119">
        <v>26.84</v>
      </c>
      <c r="AU119">
        <v>2.68</v>
      </c>
      <c r="AV119">
        <v>2023</v>
      </c>
      <c r="AW119">
        <v>15</v>
      </c>
      <c r="AX119">
        <v>670</v>
      </c>
      <c r="AY119">
        <v>0</v>
      </c>
      <c r="AZ119" t="s">
        <v>201</v>
      </c>
      <c r="BA119">
        <v>29.56</v>
      </c>
      <c r="BB119" s="1">
        <v>44949</v>
      </c>
    </row>
    <row r="120" spans="1:54" x14ac:dyDescent="0.25">
      <c r="A120">
        <v>2023</v>
      </c>
      <c r="B120">
        <v>39</v>
      </c>
      <c r="C120" s="1">
        <v>44949</v>
      </c>
      <c r="D120">
        <v>2023</v>
      </c>
      <c r="E120">
        <v>2022</v>
      </c>
      <c r="F120">
        <v>720</v>
      </c>
      <c r="H120" t="s">
        <v>200</v>
      </c>
      <c r="I120">
        <v>130</v>
      </c>
      <c r="J120">
        <v>0</v>
      </c>
      <c r="K120" t="s">
        <v>128</v>
      </c>
      <c r="R120" t="s">
        <v>190</v>
      </c>
      <c r="S120" t="str">
        <f t="shared" si="9"/>
        <v>31</v>
      </c>
      <c r="T120" t="s">
        <v>122</v>
      </c>
      <c r="W120" t="s">
        <v>198</v>
      </c>
      <c r="Y120">
        <v>3344</v>
      </c>
      <c r="Z120" t="s">
        <v>192</v>
      </c>
      <c r="AB120" t="str">
        <f t="shared" si="11"/>
        <v>02616630022</v>
      </c>
      <c r="AC120" t="s">
        <v>116</v>
      </c>
      <c r="AD120" t="s">
        <v>193</v>
      </c>
      <c r="AF120">
        <v>2022</v>
      </c>
      <c r="AG120">
        <v>3897</v>
      </c>
      <c r="AH120" t="str">
        <f t="shared" si="10"/>
        <v>1</v>
      </c>
      <c r="AI120" t="str">
        <f>"5220234979"</f>
        <v>5220234979</v>
      </c>
      <c r="AJ120" s="1">
        <v>44914</v>
      </c>
      <c r="AL120" s="2">
        <v>1836.75</v>
      </c>
      <c r="AM120" t="str">
        <f>"8670033840"</f>
        <v>8670033840</v>
      </c>
      <c r="AN120">
        <v>2023</v>
      </c>
      <c r="AO120">
        <v>19</v>
      </c>
      <c r="AP120" s="2">
        <v>1836.75</v>
      </c>
      <c r="AQ120">
        <v>0</v>
      </c>
      <c r="AR120" s="2">
        <v>11297.11</v>
      </c>
      <c r="AS120" t="s">
        <v>194</v>
      </c>
      <c r="AT120">
        <v>1668.2</v>
      </c>
      <c r="AU120">
        <v>166.82</v>
      </c>
      <c r="AV120">
        <v>2023</v>
      </c>
      <c r="AW120">
        <v>15</v>
      </c>
      <c r="AX120">
        <v>670</v>
      </c>
      <c r="AY120">
        <v>0</v>
      </c>
      <c r="AZ120" t="s">
        <v>201</v>
      </c>
      <c r="BA120">
        <v>1836.75</v>
      </c>
      <c r="BB120" s="1">
        <v>44949</v>
      </c>
    </row>
    <row r="121" spans="1:54" x14ac:dyDescent="0.25">
      <c r="A121">
        <v>2023</v>
      </c>
      <c r="B121">
        <v>39</v>
      </c>
      <c r="C121" s="1">
        <v>44949</v>
      </c>
      <c r="D121">
        <v>2023</v>
      </c>
      <c r="E121">
        <v>2022</v>
      </c>
      <c r="F121">
        <v>720</v>
      </c>
      <c r="H121" t="s">
        <v>200</v>
      </c>
      <c r="I121">
        <v>130</v>
      </c>
      <c r="J121">
        <v>0</v>
      </c>
      <c r="K121" t="s">
        <v>128</v>
      </c>
      <c r="R121" t="s">
        <v>190</v>
      </c>
      <c r="S121" t="str">
        <f t="shared" si="9"/>
        <v>31</v>
      </c>
      <c r="T121" t="s">
        <v>122</v>
      </c>
      <c r="W121" t="s">
        <v>198</v>
      </c>
      <c r="Y121">
        <v>3344</v>
      </c>
      <c r="Z121" t="s">
        <v>192</v>
      </c>
      <c r="AB121" t="str">
        <f t="shared" si="11"/>
        <v>02616630022</v>
      </c>
      <c r="AC121" t="s">
        <v>116</v>
      </c>
      <c r="AD121" t="s">
        <v>193</v>
      </c>
      <c r="AF121">
        <v>2022</v>
      </c>
      <c r="AG121">
        <v>3898</v>
      </c>
      <c r="AH121" t="str">
        <f t="shared" si="10"/>
        <v>1</v>
      </c>
      <c r="AI121" t="str">
        <f>"5220235005"</f>
        <v>5220235005</v>
      </c>
      <c r="AJ121" s="1">
        <v>44914</v>
      </c>
      <c r="AL121">
        <v>163.58000000000001</v>
      </c>
      <c r="AM121" t="str">
        <f>"8670000841"</f>
        <v>8670000841</v>
      </c>
      <c r="AN121">
        <v>2023</v>
      </c>
      <c r="AO121">
        <v>19</v>
      </c>
      <c r="AP121">
        <v>163.58000000000001</v>
      </c>
      <c r="AQ121">
        <v>0</v>
      </c>
      <c r="AR121" s="2">
        <v>11297.11</v>
      </c>
      <c r="AS121" t="s">
        <v>194</v>
      </c>
      <c r="AT121">
        <v>148.66</v>
      </c>
      <c r="AU121">
        <v>14.87</v>
      </c>
      <c r="AV121">
        <v>2023</v>
      </c>
      <c r="AW121">
        <v>15</v>
      </c>
      <c r="AX121">
        <v>670</v>
      </c>
      <c r="AY121">
        <v>0</v>
      </c>
      <c r="AZ121" t="s">
        <v>201</v>
      </c>
      <c r="BA121">
        <v>163.58000000000001</v>
      </c>
      <c r="BB121" s="1">
        <v>44949</v>
      </c>
    </row>
    <row r="122" spans="1:54" x14ac:dyDescent="0.25">
      <c r="A122">
        <v>2023</v>
      </c>
      <c r="B122">
        <v>39</v>
      </c>
      <c r="C122" s="1">
        <v>44949</v>
      </c>
      <c r="D122">
        <v>2023</v>
      </c>
      <c r="E122">
        <v>2022</v>
      </c>
      <c r="F122">
        <v>720</v>
      </c>
      <c r="H122" t="s">
        <v>200</v>
      </c>
      <c r="I122">
        <v>130</v>
      </c>
      <c r="J122">
        <v>0</v>
      </c>
      <c r="K122" t="s">
        <v>128</v>
      </c>
      <c r="R122" t="s">
        <v>190</v>
      </c>
      <c r="S122" t="str">
        <f t="shared" si="9"/>
        <v>31</v>
      </c>
      <c r="T122" t="s">
        <v>122</v>
      </c>
      <c r="W122" t="s">
        <v>198</v>
      </c>
      <c r="Y122">
        <v>3344</v>
      </c>
      <c r="Z122" t="s">
        <v>192</v>
      </c>
      <c r="AB122" t="str">
        <f t="shared" si="11"/>
        <v>02616630022</v>
      </c>
      <c r="AC122" t="s">
        <v>116</v>
      </c>
      <c r="AD122" t="s">
        <v>193</v>
      </c>
      <c r="AF122">
        <v>2022</v>
      </c>
      <c r="AG122">
        <v>3899</v>
      </c>
      <c r="AH122" t="str">
        <f t="shared" si="10"/>
        <v>1</v>
      </c>
      <c r="AI122" t="str">
        <f>"5220234940"</f>
        <v>5220234940</v>
      </c>
      <c r="AJ122" s="1">
        <v>44914</v>
      </c>
      <c r="AL122">
        <v>9.57</v>
      </c>
      <c r="AM122" t="str">
        <f>"8670075141"</f>
        <v>8670075141</v>
      </c>
      <c r="AN122">
        <v>2023</v>
      </c>
      <c r="AO122">
        <v>19</v>
      </c>
      <c r="AP122">
        <v>9.57</v>
      </c>
      <c r="AQ122">
        <v>0</v>
      </c>
      <c r="AR122" s="2">
        <v>11297.11</v>
      </c>
      <c r="AS122" t="s">
        <v>194</v>
      </c>
      <c r="AT122">
        <v>8.68</v>
      </c>
      <c r="AU122">
        <v>0.87</v>
      </c>
      <c r="AV122">
        <v>2023</v>
      </c>
      <c r="AW122">
        <v>15</v>
      </c>
      <c r="AX122">
        <v>670</v>
      </c>
      <c r="AY122">
        <v>0</v>
      </c>
      <c r="AZ122" t="s">
        <v>201</v>
      </c>
      <c r="BA122">
        <v>9.57</v>
      </c>
      <c r="BB122" s="1">
        <v>44949</v>
      </c>
    </row>
    <row r="123" spans="1:54" x14ac:dyDescent="0.25">
      <c r="A123">
        <v>2023</v>
      </c>
      <c r="B123">
        <v>39</v>
      </c>
      <c r="C123" s="1">
        <v>44949</v>
      </c>
      <c r="D123">
        <v>2023</v>
      </c>
      <c r="E123">
        <v>2022</v>
      </c>
      <c r="F123">
        <v>720</v>
      </c>
      <c r="H123" t="s">
        <v>200</v>
      </c>
      <c r="I123">
        <v>130</v>
      </c>
      <c r="J123">
        <v>0</v>
      </c>
      <c r="K123" t="s">
        <v>128</v>
      </c>
      <c r="R123" t="s">
        <v>190</v>
      </c>
      <c r="S123" t="str">
        <f t="shared" si="9"/>
        <v>31</v>
      </c>
      <c r="T123" t="s">
        <v>122</v>
      </c>
      <c r="W123" t="s">
        <v>198</v>
      </c>
      <c r="Y123">
        <v>3344</v>
      </c>
      <c r="Z123" t="s">
        <v>192</v>
      </c>
      <c r="AB123" t="str">
        <f t="shared" si="11"/>
        <v>02616630022</v>
      </c>
      <c r="AC123" t="s">
        <v>116</v>
      </c>
      <c r="AD123" t="s">
        <v>193</v>
      </c>
      <c r="AF123">
        <v>2022</v>
      </c>
      <c r="AG123">
        <v>3901</v>
      </c>
      <c r="AH123" t="str">
        <f t="shared" si="10"/>
        <v>1</v>
      </c>
      <c r="AI123" t="str">
        <f>"5220235047"</f>
        <v>5220235047</v>
      </c>
      <c r="AJ123" s="1">
        <v>44914</v>
      </c>
      <c r="AL123" s="2">
        <v>2621.4</v>
      </c>
      <c r="AM123" t="str">
        <f>"8669806043"</f>
        <v>8669806043</v>
      </c>
      <c r="AN123">
        <v>2023</v>
      </c>
      <c r="AO123">
        <v>19</v>
      </c>
      <c r="AP123" s="2">
        <v>2621.4</v>
      </c>
      <c r="AQ123">
        <v>0</v>
      </c>
      <c r="AR123" s="2">
        <v>11297.11</v>
      </c>
      <c r="AS123" t="s">
        <v>194</v>
      </c>
      <c r="AT123">
        <v>2379.3000000000002</v>
      </c>
      <c r="AU123">
        <v>237.93</v>
      </c>
      <c r="AV123">
        <v>2023</v>
      </c>
      <c r="AW123">
        <v>15</v>
      </c>
      <c r="AX123">
        <v>670</v>
      </c>
      <c r="AY123">
        <v>0</v>
      </c>
      <c r="AZ123" t="s">
        <v>201</v>
      </c>
      <c r="BA123">
        <v>2621.4</v>
      </c>
      <c r="BB123" s="1">
        <v>44949</v>
      </c>
    </row>
    <row r="124" spans="1:54" x14ac:dyDescent="0.25">
      <c r="A124">
        <v>2023</v>
      </c>
      <c r="B124">
        <v>39</v>
      </c>
      <c r="C124" s="1">
        <v>44949</v>
      </c>
      <c r="D124">
        <v>2023</v>
      </c>
      <c r="E124">
        <v>2022</v>
      </c>
      <c r="F124">
        <v>720</v>
      </c>
      <c r="H124" t="s">
        <v>200</v>
      </c>
      <c r="I124">
        <v>130</v>
      </c>
      <c r="J124">
        <v>0</v>
      </c>
      <c r="K124" t="s">
        <v>128</v>
      </c>
      <c r="R124" t="s">
        <v>190</v>
      </c>
      <c r="S124" t="str">
        <f t="shared" si="9"/>
        <v>31</v>
      </c>
      <c r="T124" t="s">
        <v>122</v>
      </c>
      <c r="W124" t="s">
        <v>198</v>
      </c>
      <c r="Y124">
        <v>3344</v>
      </c>
      <c r="Z124" t="s">
        <v>192</v>
      </c>
      <c r="AB124" t="str">
        <f t="shared" si="11"/>
        <v>02616630022</v>
      </c>
      <c r="AC124" t="s">
        <v>116</v>
      </c>
      <c r="AD124" t="s">
        <v>193</v>
      </c>
      <c r="AF124">
        <v>2022</v>
      </c>
      <c r="AG124">
        <v>3902</v>
      </c>
      <c r="AH124" t="str">
        <f t="shared" si="10"/>
        <v>1</v>
      </c>
      <c r="AI124" t="str">
        <f>"5220235067"</f>
        <v>5220235067</v>
      </c>
      <c r="AJ124" s="1">
        <v>44914</v>
      </c>
      <c r="AL124">
        <v>29.56</v>
      </c>
      <c r="AM124" t="str">
        <f>"8669830644"</f>
        <v>8669830644</v>
      </c>
      <c r="AN124">
        <v>2023</v>
      </c>
      <c r="AO124">
        <v>19</v>
      </c>
      <c r="AP124">
        <v>29.56</v>
      </c>
      <c r="AQ124">
        <v>0</v>
      </c>
      <c r="AR124" s="2">
        <v>11297.11</v>
      </c>
      <c r="AS124" t="s">
        <v>194</v>
      </c>
      <c r="AT124">
        <v>26.84</v>
      </c>
      <c r="AU124">
        <v>2.68</v>
      </c>
      <c r="AV124">
        <v>2023</v>
      </c>
      <c r="AW124">
        <v>15</v>
      </c>
      <c r="AX124">
        <v>670</v>
      </c>
      <c r="AY124">
        <v>0</v>
      </c>
      <c r="AZ124" t="s">
        <v>201</v>
      </c>
      <c r="BA124">
        <v>29.56</v>
      </c>
      <c r="BB124" s="1">
        <v>44949</v>
      </c>
    </row>
    <row r="125" spans="1:54" x14ac:dyDescent="0.25">
      <c r="A125">
        <v>2023</v>
      </c>
      <c r="B125">
        <v>39</v>
      </c>
      <c r="C125" s="1">
        <v>44949</v>
      </c>
      <c r="D125">
        <v>2023</v>
      </c>
      <c r="E125">
        <v>2022</v>
      </c>
      <c r="F125">
        <v>720</v>
      </c>
      <c r="H125" t="s">
        <v>200</v>
      </c>
      <c r="I125">
        <v>130</v>
      </c>
      <c r="J125">
        <v>0</v>
      </c>
      <c r="K125" t="s">
        <v>128</v>
      </c>
      <c r="R125" t="s">
        <v>190</v>
      </c>
      <c r="S125" t="str">
        <f t="shared" si="9"/>
        <v>31</v>
      </c>
      <c r="T125" t="s">
        <v>122</v>
      </c>
      <c r="W125" t="s">
        <v>198</v>
      </c>
      <c r="Y125">
        <v>3344</v>
      </c>
      <c r="Z125" t="s">
        <v>192</v>
      </c>
      <c r="AB125" t="str">
        <f t="shared" si="11"/>
        <v>02616630022</v>
      </c>
      <c r="AC125" t="s">
        <v>116</v>
      </c>
      <c r="AD125" t="s">
        <v>193</v>
      </c>
      <c r="AF125">
        <v>2022</v>
      </c>
      <c r="AG125">
        <v>3903</v>
      </c>
      <c r="AH125" t="str">
        <f t="shared" si="10"/>
        <v>1</v>
      </c>
      <c r="AI125" t="str">
        <f>"5220235003"</f>
        <v>5220235003</v>
      </c>
      <c r="AJ125" s="1">
        <v>44914</v>
      </c>
      <c r="AL125">
        <v>253.86</v>
      </c>
      <c r="AM125" t="str">
        <f>"8670094400"</f>
        <v>8670094400</v>
      </c>
      <c r="AN125">
        <v>2023</v>
      </c>
      <c r="AO125">
        <v>19</v>
      </c>
      <c r="AP125">
        <v>253.86</v>
      </c>
      <c r="AQ125">
        <v>0</v>
      </c>
      <c r="AR125" s="2">
        <v>11297.11</v>
      </c>
      <c r="AS125" t="s">
        <v>194</v>
      </c>
      <c r="AT125">
        <v>230.41</v>
      </c>
      <c r="AU125">
        <v>23.04</v>
      </c>
      <c r="AV125">
        <v>2023</v>
      </c>
      <c r="AW125">
        <v>15</v>
      </c>
      <c r="AX125">
        <v>670</v>
      </c>
      <c r="AY125">
        <v>0</v>
      </c>
      <c r="AZ125" t="s">
        <v>201</v>
      </c>
      <c r="BA125">
        <v>253.86</v>
      </c>
      <c r="BB125" s="1">
        <v>44949</v>
      </c>
    </row>
    <row r="126" spans="1:54" x14ac:dyDescent="0.25">
      <c r="A126">
        <v>2023</v>
      </c>
      <c r="B126">
        <v>39</v>
      </c>
      <c r="C126" s="1">
        <v>44949</v>
      </c>
      <c r="D126">
        <v>2023</v>
      </c>
      <c r="E126">
        <v>2022</v>
      </c>
      <c r="F126">
        <v>720</v>
      </c>
      <c r="H126" t="s">
        <v>200</v>
      </c>
      <c r="I126">
        <v>130</v>
      </c>
      <c r="J126">
        <v>0</v>
      </c>
      <c r="K126" t="s">
        <v>128</v>
      </c>
      <c r="R126" t="s">
        <v>190</v>
      </c>
      <c r="S126" t="str">
        <f t="shared" si="9"/>
        <v>31</v>
      </c>
      <c r="T126" t="s">
        <v>122</v>
      </c>
      <c r="W126" t="s">
        <v>198</v>
      </c>
      <c r="Y126">
        <v>3344</v>
      </c>
      <c r="Z126" t="s">
        <v>192</v>
      </c>
      <c r="AB126" t="str">
        <f t="shared" si="11"/>
        <v>02616630022</v>
      </c>
      <c r="AC126" t="s">
        <v>116</v>
      </c>
      <c r="AD126" t="s">
        <v>193</v>
      </c>
      <c r="AF126">
        <v>2022</v>
      </c>
      <c r="AG126">
        <v>3904</v>
      </c>
      <c r="AH126" t="str">
        <f t="shared" si="10"/>
        <v>1</v>
      </c>
      <c r="AI126" t="str">
        <f>"5220235014"</f>
        <v>5220235014</v>
      </c>
      <c r="AJ126" s="1">
        <v>44914</v>
      </c>
      <c r="AL126">
        <v>43.22</v>
      </c>
      <c r="AM126" t="str">
        <f>"8669850239"</f>
        <v>8669850239</v>
      </c>
      <c r="AN126">
        <v>2023</v>
      </c>
      <c r="AO126">
        <v>19</v>
      </c>
      <c r="AP126">
        <v>43.22</v>
      </c>
      <c r="AQ126">
        <v>0</v>
      </c>
      <c r="AR126" s="2">
        <v>11297.11</v>
      </c>
      <c r="AS126" t="s">
        <v>194</v>
      </c>
      <c r="AT126">
        <v>39.24</v>
      </c>
      <c r="AU126">
        <v>3.92</v>
      </c>
      <c r="AV126">
        <v>2023</v>
      </c>
      <c r="AW126">
        <v>15</v>
      </c>
      <c r="AX126">
        <v>670</v>
      </c>
      <c r="AY126">
        <v>0</v>
      </c>
      <c r="AZ126" t="s">
        <v>201</v>
      </c>
      <c r="BA126">
        <v>43.22</v>
      </c>
      <c r="BB126" s="1">
        <v>44949</v>
      </c>
    </row>
    <row r="127" spans="1:54" x14ac:dyDescent="0.25">
      <c r="A127">
        <v>2023</v>
      </c>
      <c r="B127">
        <v>39</v>
      </c>
      <c r="C127" s="1">
        <v>44949</v>
      </c>
      <c r="D127">
        <v>2023</v>
      </c>
      <c r="E127">
        <v>2022</v>
      </c>
      <c r="F127">
        <v>720</v>
      </c>
      <c r="H127" t="s">
        <v>200</v>
      </c>
      <c r="I127">
        <v>130</v>
      </c>
      <c r="J127">
        <v>0</v>
      </c>
      <c r="K127" t="s">
        <v>128</v>
      </c>
      <c r="R127" t="s">
        <v>190</v>
      </c>
      <c r="S127" t="str">
        <f t="shared" si="9"/>
        <v>31</v>
      </c>
      <c r="T127" t="s">
        <v>122</v>
      </c>
      <c r="W127" t="s">
        <v>198</v>
      </c>
      <c r="Y127">
        <v>3344</v>
      </c>
      <c r="Z127" t="s">
        <v>192</v>
      </c>
      <c r="AB127" t="str">
        <f t="shared" si="11"/>
        <v>02616630022</v>
      </c>
      <c r="AC127" t="s">
        <v>116</v>
      </c>
      <c r="AD127" t="s">
        <v>193</v>
      </c>
      <c r="AF127">
        <v>2022</v>
      </c>
      <c r="AG127">
        <v>3905</v>
      </c>
      <c r="AH127" t="str">
        <f t="shared" si="10"/>
        <v>1</v>
      </c>
      <c r="AI127" t="str">
        <f>"5220235063"</f>
        <v>5220235063</v>
      </c>
      <c r="AJ127" s="1">
        <v>44914</v>
      </c>
      <c r="AL127">
        <v>29.56</v>
      </c>
      <c r="AM127" t="str">
        <f>"8669829840"</f>
        <v>8669829840</v>
      </c>
      <c r="AN127">
        <v>2023</v>
      </c>
      <c r="AO127">
        <v>19</v>
      </c>
      <c r="AP127">
        <v>29.56</v>
      </c>
      <c r="AQ127">
        <v>0</v>
      </c>
      <c r="AR127" s="2">
        <v>11297.11</v>
      </c>
      <c r="AS127" t="s">
        <v>194</v>
      </c>
      <c r="AT127">
        <v>26.84</v>
      </c>
      <c r="AU127">
        <v>2.68</v>
      </c>
      <c r="AV127">
        <v>2023</v>
      </c>
      <c r="AW127">
        <v>15</v>
      </c>
      <c r="AX127">
        <v>670</v>
      </c>
      <c r="AY127">
        <v>0</v>
      </c>
      <c r="AZ127" t="s">
        <v>201</v>
      </c>
      <c r="BA127">
        <v>29.56</v>
      </c>
      <c r="BB127" s="1">
        <v>44949</v>
      </c>
    </row>
    <row r="128" spans="1:54" x14ac:dyDescent="0.25">
      <c r="A128">
        <v>2023</v>
      </c>
      <c r="B128">
        <v>39</v>
      </c>
      <c r="C128" s="1">
        <v>44949</v>
      </c>
      <c r="D128">
        <v>2023</v>
      </c>
      <c r="E128">
        <v>2022</v>
      </c>
      <c r="F128">
        <v>720</v>
      </c>
      <c r="H128" t="s">
        <v>200</v>
      </c>
      <c r="I128">
        <v>130</v>
      </c>
      <c r="J128">
        <v>0</v>
      </c>
      <c r="K128" t="s">
        <v>128</v>
      </c>
      <c r="R128" t="s">
        <v>190</v>
      </c>
      <c r="S128" t="str">
        <f t="shared" si="9"/>
        <v>31</v>
      </c>
      <c r="T128" t="s">
        <v>122</v>
      </c>
      <c r="W128" t="s">
        <v>198</v>
      </c>
      <c r="Y128">
        <v>3344</v>
      </c>
      <c r="Z128" t="s">
        <v>192</v>
      </c>
      <c r="AB128" t="str">
        <f t="shared" si="11"/>
        <v>02616630022</v>
      </c>
      <c r="AC128" t="s">
        <v>116</v>
      </c>
      <c r="AD128" t="s">
        <v>193</v>
      </c>
      <c r="AF128">
        <v>2022</v>
      </c>
      <c r="AG128">
        <v>3906</v>
      </c>
      <c r="AH128" t="str">
        <f t="shared" si="10"/>
        <v>1</v>
      </c>
      <c r="AI128" t="str">
        <f>"5220235034"</f>
        <v>5220235034</v>
      </c>
      <c r="AJ128" s="1">
        <v>44914</v>
      </c>
      <c r="AL128">
        <v>274.68</v>
      </c>
      <c r="AM128" t="str">
        <f>"8669885141"</f>
        <v>8669885141</v>
      </c>
      <c r="AN128">
        <v>2023</v>
      </c>
      <c r="AO128">
        <v>19</v>
      </c>
      <c r="AP128">
        <v>274.68</v>
      </c>
      <c r="AQ128">
        <v>0</v>
      </c>
      <c r="AR128" s="2">
        <v>11297.11</v>
      </c>
      <c r="AS128" t="s">
        <v>194</v>
      </c>
      <c r="AT128">
        <v>249.67</v>
      </c>
      <c r="AU128">
        <v>24.97</v>
      </c>
      <c r="AV128">
        <v>2023</v>
      </c>
      <c r="AW128">
        <v>15</v>
      </c>
      <c r="AX128">
        <v>670</v>
      </c>
      <c r="AY128">
        <v>0</v>
      </c>
      <c r="AZ128" t="s">
        <v>201</v>
      </c>
      <c r="BA128">
        <v>274.68</v>
      </c>
      <c r="BB128" s="1">
        <v>44949</v>
      </c>
    </row>
    <row r="129" spans="1:54" x14ac:dyDescent="0.25">
      <c r="A129">
        <v>2023</v>
      </c>
      <c r="B129">
        <v>39</v>
      </c>
      <c r="C129" s="1">
        <v>44949</v>
      </c>
      <c r="D129">
        <v>2023</v>
      </c>
      <c r="E129">
        <v>2022</v>
      </c>
      <c r="F129">
        <v>720</v>
      </c>
      <c r="H129" t="s">
        <v>200</v>
      </c>
      <c r="I129">
        <v>130</v>
      </c>
      <c r="J129">
        <v>0</v>
      </c>
      <c r="K129" t="s">
        <v>128</v>
      </c>
      <c r="R129" t="s">
        <v>190</v>
      </c>
      <c r="S129" t="str">
        <f t="shared" si="9"/>
        <v>31</v>
      </c>
      <c r="T129" t="s">
        <v>122</v>
      </c>
      <c r="W129" t="s">
        <v>198</v>
      </c>
      <c r="Y129">
        <v>3344</v>
      </c>
      <c r="Z129" t="s">
        <v>192</v>
      </c>
      <c r="AB129" t="str">
        <f t="shared" si="11"/>
        <v>02616630022</v>
      </c>
      <c r="AC129" t="s">
        <v>116</v>
      </c>
      <c r="AD129" t="s">
        <v>193</v>
      </c>
      <c r="AF129">
        <v>2022</v>
      </c>
      <c r="AG129">
        <v>3907</v>
      </c>
      <c r="AH129" t="str">
        <f t="shared" si="10"/>
        <v>1</v>
      </c>
      <c r="AI129" t="str">
        <f>"5220234963"</f>
        <v>5220234963</v>
      </c>
      <c r="AJ129" s="1">
        <v>44914</v>
      </c>
      <c r="AL129" s="2">
        <v>1893.61</v>
      </c>
      <c r="AM129" t="str">
        <f>"8670075345"</f>
        <v>8670075345</v>
      </c>
      <c r="AN129">
        <v>2023</v>
      </c>
      <c r="AO129">
        <v>19</v>
      </c>
      <c r="AP129" s="2">
        <v>1893.61</v>
      </c>
      <c r="AQ129">
        <v>0</v>
      </c>
      <c r="AR129" s="2">
        <v>11297.11</v>
      </c>
      <c r="AS129" t="s">
        <v>194</v>
      </c>
      <c r="AT129">
        <v>1719.99</v>
      </c>
      <c r="AU129">
        <v>172</v>
      </c>
      <c r="AV129">
        <v>2023</v>
      </c>
      <c r="AW129">
        <v>15</v>
      </c>
      <c r="AX129">
        <v>670</v>
      </c>
      <c r="AY129">
        <v>0</v>
      </c>
      <c r="AZ129" t="s">
        <v>201</v>
      </c>
      <c r="BA129">
        <v>1893.61</v>
      </c>
      <c r="BB129" s="1">
        <v>44949</v>
      </c>
    </row>
    <row r="130" spans="1:54" x14ac:dyDescent="0.25">
      <c r="A130">
        <v>2023</v>
      </c>
      <c r="B130">
        <v>39</v>
      </c>
      <c r="C130" s="1">
        <v>44949</v>
      </c>
      <c r="D130">
        <v>2023</v>
      </c>
      <c r="E130">
        <v>2022</v>
      </c>
      <c r="F130">
        <v>720</v>
      </c>
      <c r="H130" t="s">
        <v>200</v>
      </c>
      <c r="I130">
        <v>130</v>
      </c>
      <c r="J130">
        <v>0</v>
      </c>
      <c r="K130" t="s">
        <v>128</v>
      </c>
      <c r="R130" t="s">
        <v>190</v>
      </c>
      <c r="S130" t="str">
        <f t="shared" ref="S130:S161" si="12">"31"</f>
        <v>31</v>
      </c>
      <c r="T130" t="s">
        <v>122</v>
      </c>
      <c r="W130" t="s">
        <v>198</v>
      </c>
      <c r="Y130">
        <v>3344</v>
      </c>
      <c r="Z130" t="s">
        <v>192</v>
      </c>
      <c r="AB130" t="str">
        <f t="shared" si="11"/>
        <v>02616630022</v>
      </c>
      <c r="AC130" t="s">
        <v>116</v>
      </c>
      <c r="AD130" t="s">
        <v>193</v>
      </c>
      <c r="AF130">
        <v>2022</v>
      </c>
      <c r="AG130">
        <v>3908</v>
      </c>
      <c r="AH130" t="str">
        <f t="shared" si="10"/>
        <v>1</v>
      </c>
      <c r="AI130" t="str">
        <f>"5220234949"</f>
        <v>5220234949</v>
      </c>
      <c r="AJ130" s="1">
        <v>44914</v>
      </c>
      <c r="AL130" s="2">
        <v>11559.86</v>
      </c>
      <c r="AM130" t="str">
        <f>"8669971246"</f>
        <v>8669971246</v>
      </c>
      <c r="AN130">
        <v>2023</v>
      </c>
      <c r="AO130">
        <v>19</v>
      </c>
      <c r="AP130" s="2">
        <v>11559.86</v>
      </c>
      <c r="AQ130">
        <v>0</v>
      </c>
      <c r="AR130" s="2">
        <v>11297.11</v>
      </c>
      <c r="AS130" t="s">
        <v>194</v>
      </c>
      <c r="AT130">
        <v>10467.09</v>
      </c>
      <c r="AU130">
        <v>1046.71</v>
      </c>
      <c r="AV130">
        <v>2023</v>
      </c>
      <c r="AW130">
        <v>15</v>
      </c>
      <c r="AX130">
        <v>670</v>
      </c>
      <c r="AY130">
        <v>0</v>
      </c>
      <c r="AZ130" t="s">
        <v>201</v>
      </c>
      <c r="BA130">
        <v>11559.86</v>
      </c>
      <c r="BB130" s="1">
        <v>44949</v>
      </c>
    </row>
    <row r="131" spans="1:54" x14ac:dyDescent="0.25">
      <c r="A131">
        <v>2023</v>
      </c>
      <c r="B131">
        <v>39</v>
      </c>
      <c r="C131" s="1">
        <v>44949</v>
      </c>
      <c r="D131">
        <v>2023</v>
      </c>
      <c r="E131">
        <v>2022</v>
      </c>
      <c r="F131">
        <v>720</v>
      </c>
      <c r="H131" t="s">
        <v>200</v>
      </c>
      <c r="I131">
        <v>130</v>
      </c>
      <c r="J131">
        <v>0</v>
      </c>
      <c r="K131" t="s">
        <v>128</v>
      </c>
      <c r="R131" t="s">
        <v>190</v>
      </c>
      <c r="S131" t="str">
        <f t="shared" si="12"/>
        <v>31</v>
      </c>
      <c r="T131" t="s">
        <v>122</v>
      </c>
      <c r="W131" t="s">
        <v>198</v>
      </c>
      <c r="Y131">
        <v>3344</v>
      </c>
      <c r="Z131" t="s">
        <v>192</v>
      </c>
      <c r="AB131" t="str">
        <f t="shared" si="11"/>
        <v>02616630022</v>
      </c>
      <c r="AC131" t="s">
        <v>116</v>
      </c>
      <c r="AD131" t="s">
        <v>193</v>
      </c>
      <c r="AF131">
        <v>2022</v>
      </c>
      <c r="AG131">
        <v>3910</v>
      </c>
      <c r="AH131" t="str">
        <f t="shared" si="10"/>
        <v>1</v>
      </c>
      <c r="AI131" t="str">
        <f>"5220235049"</f>
        <v>5220235049</v>
      </c>
      <c r="AJ131" s="1">
        <v>44914</v>
      </c>
      <c r="AL131" s="2">
        <v>3097.08</v>
      </c>
      <c r="AM131" t="str">
        <f>"8669815746"</f>
        <v>8669815746</v>
      </c>
      <c r="AN131">
        <v>2023</v>
      </c>
      <c r="AO131">
        <v>19</v>
      </c>
      <c r="AP131" s="2">
        <v>3097.08</v>
      </c>
      <c r="AQ131">
        <v>0</v>
      </c>
      <c r="AR131" s="2">
        <v>11297.11</v>
      </c>
      <c r="AS131" t="s">
        <v>194</v>
      </c>
      <c r="AT131">
        <v>2810.87</v>
      </c>
      <c r="AU131">
        <v>281.08999999999997</v>
      </c>
      <c r="AV131">
        <v>2023</v>
      </c>
      <c r="AW131">
        <v>15</v>
      </c>
      <c r="AX131">
        <v>670</v>
      </c>
      <c r="AY131">
        <v>0</v>
      </c>
      <c r="AZ131" t="s">
        <v>201</v>
      </c>
      <c r="BA131">
        <v>3097.08</v>
      </c>
      <c r="BB131" s="1">
        <v>44949</v>
      </c>
    </row>
    <row r="132" spans="1:54" x14ac:dyDescent="0.25">
      <c r="A132">
        <v>2023</v>
      </c>
      <c r="B132">
        <v>39</v>
      </c>
      <c r="C132" s="1">
        <v>44949</v>
      </c>
      <c r="D132">
        <v>2023</v>
      </c>
      <c r="E132">
        <v>2022</v>
      </c>
      <c r="F132">
        <v>720</v>
      </c>
      <c r="H132" t="s">
        <v>200</v>
      </c>
      <c r="I132">
        <v>130</v>
      </c>
      <c r="J132">
        <v>0</v>
      </c>
      <c r="K132" t="s">
        <v>128</v>
      </c>
      <c r="R132" t="s">
        <v>190</v>
      </c>
      <c r="S132" t="str">
        <f t="shared" si="12"/>
        <v>31</v>
      </c>
      <c r="T132" t="s">
        <v>122</v>
      </c>
      <c r="W132" t="s">
        <v>198</v>
      </c>
      <c r="Y132">
        <v>3344</v>
      </c>
      <c r="Z132" t="s">
        <v>192</v>
      </c>
      <c r="AB132" t="str">
        <f t="shared" si="11"/>
        <v>02616630022</v>
      </c>
      <c r="AC132" t="s">
        <v>116</v>
      </c>
      <c r="AD132" t="s">
        <v>193</v>
      </c>
      <c r="AF132">
        <v>2022</v>
      </c>
      <c r="AG132">
        <v>3911</v>
      </c>
      <c r="AH132" t="str">
        <f t="shared" ref="AH132:AH163" si="13">"1"</f>
        <v>1</v>
      </c>
      <c r="AI132" t="str">
        <f>"5220235039"</f>
        <v>5220235039</v>
      </c>
      <c r="AJ132" s="1">
        <v>44914</v>
      </c>
      <c r="AL132">
        <v>9.57</v>
      </c>
      <c r="AM132" t="str">
        <f>"8669896446"</f>
        <v>8669896446</v>
      </c>
      <c r="AN132">
        <v>2023</v>
      </c>
      <c r="AO132">
        <v>19</v>
      </c>
      <c r="AP132">
        <v>9.57</v>
      </c>
      <c r="AQ132">
        <v>0</v>
      </c>
      <c r="AR132" s="2">
        <v>11297.11</v>
      </c>
      <c r="AS132" t="s">
        <v>194</v>
      </c>
      <c r="AT132">
        <v>8.68</v>
      </c>
      <c r="AU132">
        <v>0.87</v>
      </c>
      <c r="AV132">
        <v>2023</v>
      </c>
      <c r="AW132">
        <v>15</v>
      </c>
      <c r="AX132">
        <v>670</v>
      </c>
      <c r="AY132">
        <v>0</v>
      </c>
      <c r="AZ132" t="s">
        <v>201</v>
      </c>
      <c r="BA132">
        <v>9.57</v>
      </c>
      <c r="BB132" s="1">
        <v>44949</v>
      </c>
    </row>
    <row r="133" spans="1:54" x14ac:dyDescent="0.25">
      <c r="A133">
        <v>2023</v>
      </c>
      <c r="B133">
        <v>39</v>
      </c>
      <c r="C133" s="1">
        <v>44949</v>
      </c>
      <c r="D133">
        <v>2023</v>
      </c>
      <c r="E133">
        <v>2022</v>
      </c>
      <c r="F133">
        <v>720</v>
      </c>
      <c r="H133" t="s">
        <v>200</v>
      </c>
      <c r="I133">
        <v>130</v>
      </c>
      <c r="J133">
        <v>0</v>
      </c>
      <c r="K133" t="s">
        <v>128</v>
      </c>
      <c r="R133" t="s">
        <v>190</v>
      </c>
      <c r="S133" t="str">
        <f t="shared" si="12"/>
        <v>31</v>
      </c>
      <c r="T133" t="s">
        <v>122</v>
      </c>
      <c r="W133" t="s">
        <v>198</v>
      </c>
      <c r="Y133">
        <v>3344</v>
      </c>
      <c r="Z133" t="s">
        <v>192</v>
      </c>
      <c r="AB133" t="str">
        <f t="shared" si="11"/>
        <v>02616630022</v>
      </c>
      <c r="AC133" t="s">
        <v>116</v>
      </c>
      <c r="AD133" t="s">
        <v>193</v>
      </c>
      <c r="AF133">
        <v>2022</v>
      </c>
      <c r="AG133">
        <v>3913</v>
      </c>
      <c r="AH133" t="str">
        <f t="shared" si="13"/>
        <v>1</v>
      </c>
      <c r="AI133" t="str">
        <f>"5220235045"</f>
        <v>5220235045</v>
      </c>
      <c r="AJ133" s="1">
        <v>44914</v>
      </c>
      <c r="AL133" s="2">
        <v>1832.72</v>
      </c>
      <c r="AM133" t="str">
        <f>"8668920752"</f>
        <v>8668920752</v>
      </c>
      <c r="AN133">
        <v>2023</v>
      </c>
      <c r="AO133">
        <v>19</v>
      </c>
      <c r="AP133" s="2">
        <v>1832.72</v>
      </c>
      <c r="AQ133">
        <v>0</v>
      </c>
      <c r="AR133" s="2">
        <v>11297.11</v>
      </c>
      <c r="AS133" t="s">
        <v>194</v>
      </c>
      <c r="AT133">
        <v>1663.79</v>
      </c>
      <c r="AU133">
        <v>166.38</v>
      </c>
      <c r="AV133">
        <v>2023</v>
      </c>
      <c r="AW133">
        <v>15</v>
      </c>
      <c r="AX133">
        <v>670</v>
      </c>
      <c r="AY133">
        <v>0</v>
      </c>
      <c r="AZ133" t="s">
        <v>201</v>
      </c>
      <c r="BA133">
        <v>1832.72</v>
      </c>
      <c r="BB133" s="1">
        <v>44949</v>
      </c>
    </row>
    <row r="134" spans="1:54" x14ac:dyDescent="0.25">
      <c r="A134">
        <v>2023</v>
      </c>
      <c r="B134">
        <v>39</v>
      </c>
      <c r="C134" s="1">
        <v>44949</v>
      </c>
      <c r="D134">
        <v>2023</v>
      </c>
      <c r="E134">
        <v>2022</v>
      </c>
      <c r="F134">
        <v>720</v>
      </c>
      <c r="H134" t="s">
        <v>200</v>
      </c>
      <c r="I134">
        <v>130</v>
      </c>
      <c r="J134">
        <v>0</v>
      </c>
      <c r="K134" t="s">
        <v>128</v>
      </c>
      <c r="R134" t="s">
        <v>190</v>
      </c>
      <c r="S134" t="str">
        <f t="shared" si="12"/>
        <v>31</v>
      </c>
      <c r="T134" t="s">
        <v>122</v>
      </c>
      <c r="W134" t="s">
        <v>198</v>
      </c>
      <c r="Y134">
        <v>3344</v>
      </c>
      <c r="Z134" t="s">
        <v>192</v>
      </c>
      <c r="AB134" t="str">
        <f t="shared" si="11"/>
        <v>02616630022</v>
      </c>
      <c r="AC134" t="s">
        <v>116</v>
      </c>
      <c r="AD134" t="s">
        <v>193</v>
      </c>
      <c r="AF134">
        <v>2022</v>
      </c>
      <c r="AG134">
        <v>3914</v>
      </c>
      <c r="AH134" t="str">
        <f t="shared" si="13"/>
        <v>1</v>
      </c>
      <c r="AI134" t="str">
        <f>"5220235044"</f>
        <v>5220235044</v>
      </c>
      <c r="AJ134" s="1">
        <v>44914</v>
      </c>
      <c r="AL134">
        <v>591.1</v>
      </c>
      <c r="AM134" t="str">
        <f>"8668915861"</f>
        <v>8668915861</v>
      </c>
      <c r="AN134">
        <v>2023</v>
      </c>
      <c r="AO134">
        <v>19</v>
      </c>
      <c r="AP134">
        <v>591.1</v>
      </c>
      <c r="AQ134">
        <v>0</v>
      </c>
      <c r="AR134" s="2">
        <v>11297.11</v>
      </c>
      <c r="AS134" t="s">
        <v>194</v>
      </c>
      <c r="AT134">
        <v>536.58000000000004</v>
      </c>
      <c r="AU134">
        <v>53.66</v>
      </c>
      <c r="AV134">
        <v>2023</v>
      </c>
      <c r="AW134">
        <v>15</v>
      </c>
      <c r="AX134">
        <v>670</v>
      </c>
      <c r="AY134">
        <v>0</v>
      </c>
      <c r="AZ134" t="s">
        <v>201</v>
      </c>
      <c r="BA134">
        <v>591.1</v>
      </c>
      <c r="BB134" s="1">
        <v>44949</v>
      </c>
    </row>
    <row r="135" spans="1:54" x14ac:dyDescent="0.25">
      <c r="A135">
        <v>2023</v>
      </c>
      <c r="B135">
        <v>39</v>
      </c>
      <c r="C135" s="1">
        <v>44949</v>
      </c>
      <c r="D135">
        <v>2023</v>
      </c>
      <c r="E135">
        <v>2022</v>
      </c>
      <c r="F135">
        <v>720</v>
      </c>
      <c r="H135" t="s">
        <v>200</v>
      </c>
      <c r="I135">
        <v>130</v>
      </c>
      <c r="J135">
        <v>0</v>
      </c>
      <c r="K135" t="s">
        <v>128</v>
      </c>
      <c r="R135" t="s">
        <v>190</v>
      </c>
      <c r="S135" t="str">
        <f t="shared" si="12"/>
        <v>31</v>
      </c>
      <c r="T135" t="s">
        <v>122</v>
      </c>
      <c r="W135" t="s">
        <v>198</v>
      </c>
      <c r="Y135">
        <v>3344</v>
      </c>
      <c r="Z135" t="s">
        <v>192</v>
      </c>
      <c r="AB135" t="str">
        <f t="shared" ref="AB135:AB166" si="14">"02616630022"</f>
        <v>02616630022</v>
      </c>
      <c r="AC135" t="s">
        <v>116</v>
      </c>
      <c r="AD135" t="s">
        <v>193</v>
      </c>
      <c r="AF135">
        <v>2022</v>
      </c>
      <c r="AG135">
        <v>3915</v>
      </c>
      <c r="AH135" t="str">
        <f t="shared" si="13"/>
        <v>1</v>
      </c>
      <c r="AI135" t="str">
        <f>"5220235055"</f>
        <v>5220235055</v>
      </c>
      <c r="AJ135" s="1">
        <v>44914</v>
      </c>
      <c r="AL135">
        <v>643.72</v>
      </c>
      <c r="AM135" t="str">
        <f>"8669807054"</f>
        <v>8669807054</v>
      </c>
      <c r="AN135">
        <v>2023</v>
      </c>
      <c r="AO135">
        <v>19</v>
      </c>
      <c r="AP135">
        <v>643.72</v>
      </c>
      <c r="AQ135">
        <v>0</v>
      </c>
      <c r="AR135" s="2">
        <v>11297.11</v>
      </c>
      <c r="AS135" t="s">
        <v>194</v>
      </c>
      <c r="AT135">
        <v>584.36</v>
      </c>
      <c r="AU135">
        <v>58.44</v>
      </c>
      <c r="AV135">
        <v>2023</v>
      </c>
      <c r="AW135">
        <v>15</v>
      </c>
      <c r="AX135">
        <v>670</v>
      </c>
      <c r="AY135">
        <v>0</v>
      </c>
      <c r="AZ135" t="s">
        <v>201</v>
      </c>
      <c r="BA135">
        <v>643.72</v>
      </c>
      <c r="BB135" s="1">
        <v>44949</v>
      </c>
    </row>
    <row r="136" spans="1:54" x14ac:dyDescent="0.25">
      <c r="A136">
        <v>2023</v>
      </c>
      <c r="B136">
        <v>39</v>
      </c>
      <c r="C136" s="1">
        <v>44949</v>
      </c>
      <c r="D136">
        <v>2023</v>
      </c>
      <c r="E136">
        <v>2022</v>
      </c>
      <c r="F136">
        <v>720</v>
      </c>
      <c r="H136" t="s">
        <v>200</v>
      </c>
      <c r="I136">
        <v>130</v>
      </c>
      <c r="J136">
        <v>0</v>
      </c>
      <c r="K136" t="s">
        <v>128</v>
      </c>
      <c r="R136" t="s">
        <v>190</v>
      </c>
      <c r="S136" t="str">
        <f t="shared" si="12"/>
        <v>31</v>
      </c>
      <c r="T136" t="s">
        <v>122</v>
      </c>
      <c r="W136" t="s">
        <v>198</v>
      </c>
      <c r="Y136">
        <v>3344</v>
      </c>
      <c r="Z136" t="s">
        <v>192</v>
      </c>
      <c r="AB136" t="str">
        <f t="shared" si="14"/>
        <v>02616630022</v>
      </c>
      <c r="AC136" t="s">
        <v>116</v>
      </c>
      <c r="AD136" t="s">
        <v>193</v>
      </c>
      <c r="AF136">
        <v>2022</v>
      </c>
      <c r="AG136">
        <v>3916</v>
      </c>
      <c r="AH136" t="str">
        <f t="shared" si="13"/>
        <v>1</v>
      </c>
      <c r="AI136" t="str">
        <f>"5220235050"</f>
        <v>5220235050</v>
      </c>
      <c r="AJ136" s="1">
        <v>44914</v>
      </c>
      <c r="AL136">
        <v>380.07</v>
      </c>
      <c r="AM136" t="str">
        <f>"8669842047"</f>
        <v>8669842047</v>
      </c>
      <c r="AN136">
        <v>2023</v>
      </c>
      <c r="AO136">
        <v>19</v>
      </c>
      <c r="AP136">
        <v>380.07</v>
      </c>
      <c r="AQ136">
        <v>0</v>
      </c>
      <c r="AR136" s="2">
        <v>11297.11</v>
      </c>
      <c r="AS136" t="s">
        <v>194</v>
      </c>
      <c r="AT136">
        <v>344.44</v>
      </c>
      <c r="AU136">
        <v>34.44</v>
      </c>
      <c r="AV136">
        <v>2023</v>
      </c>
      <c r="AW136">
        <v>15</v>
      </c>
      <c r="AX136">
        <v>670</v>
      </c>
      <c r="AY136">
        <v>0</v>
      </c>
      <c r="AZ136" t="s">
        <v>201</v>
      </c>
      <c r="BA136">
        <v>380.07</v>
      </c>
      <c r="BB136" s="1">
        <v>44949</v>
      </c>
    </row>
    <row r="137" spans="1:54" x14ac:dyDescent="0.25">
      <c r="A137">
        <v>2023</v>
      </c>
      <c r="B137">
        <v>39</v>
      </c>
      <c r="C137" s="1">
        <v>44949</v>
      </c>
      <c r="D137">
        <v>2023</v>
      </c>
      <c r="E137">
        <v>2022</v>
      </c>
      <c r="F137">
        <v>720</v>
      </c>
      <c r="H137" t="s">
        <v>200</v>
      </c>
      <c r="I137">
        <v>130</v>
      </c>
      <c r="J137">
        <v>0</v>
      </c>
      <c r="K137" t="s">
        <v>128</v>
      </c>
      <c r="R137" t="s">
        <v>190</v>
      </c>
      <c r="S137" t="str">
        <f t="shared" si="12"/>
        <v>31</v>
      </c>
      <c r="T137" t="s">
        <v>122</v>
      </c>
      <c r="W137" t="s">
        <v>198</v>
      </c>
      <c r="Y137">
        <v>3344</v>
      </c>
      <c r="Z137" t="s">
        <v>192</v>
      </c>
      <c r="AB137" t="str">
        <f t="shared" si="14"/>
        <v>02616630022</v>
      </c>
      <c r="AC137" t="s">
        <v>116</v>
      </c>
      <c r="AD137" t="s">
        <v>193</v>
      </c>
      <c r="AF137">
        <v>2022</v>
      </c>
      <c r="AG137">
        <v>3917</v>
      </c>
      <c r="AH137" t="str">
        <f t="shared" si="13"/>
        <v>1</v>
      </c>
      <c r="AI137" t="str">
        <f>"5220235011"</f>
        <v>5220235011</v>
      </c>
      <c r="AJ137" s="1">
        <v>44914</v>
      </c>
      <c r="AL137">
        <v>205.12</v>
      </c>
      <c r="AM137" t="str">
        <f>"8669808490"</f>
        <v>8669808490</v>
      </c>
      <c r="AN137">
        <v>2023</v>
      </c>
      <c r="AO137">
        <v>19</v>
      </c>
      <c r="AP137">
        <v>205.12</v>
      </c>
      <c r="AQ137">
        <v>0</v>
      </c>
      <c r="AR137" s="2">
        <v>11297.11</v>
      </c>
      <c r="AS137" t="s">
        <v>194</v>
      </c>
      <c r="AT137">
        <v>186.12</v>
      </c>
      <c r="AU137">
        <v>18.61</v>
      </c>
      <c r="AV137">
        <v>2023</v>
      </c>
      <c r="AW137">
        <v>15</v>
      </c>
      <c r="AX137">
        <v>670</v>
      </c>
      <c r="AY137">
        <v>0</v>
      </c>
      <c r="AZ137" t="s">
        <v>201</v>
      </c>
      <c r="BA137">
        <v>205.12</v>
      </c>
      <c r="BB137" s="1">
        <v>44949</v>
      </c>
    </row>
    <row r="138" spans="1:54" x14ac:dyDescent="0.25">
      <c r="A138">
        <v>2023</v>
      </c>
      <c r="B138">
        <v>39</v>
      </c>
      <c r="C138" s="1">
        <v>44949</v>
      </c>
      <c r="D138">
        <v>2023</v>
      </c>
      <c r="E138">
        <v>2022</v>
      </c>
      <c r="F138">
        <v>720</v>
      </c>
      <c r="H138" t="s">
        <v>200</v>
      </c>
      <c r="I138">
        <v>130</v>
      </c>
      <c r="J138">
        <v>0</v>
      </c>
      <c r="K138" t="s">
        <v>128</v>
      </c>
      <c r="R138" t="s">
        <v>190</v>
      </c>
      <c r="S138" t="str">
        <f t="shared" si="12"/>
        <v>31</v>
      </c>
      <c r="T138" t="s">
        <v>122</v>
      </c>
      <c r="W138" t="s">
        <v>198</v>
      </c>
      <c r="Y138">
        <v>3344</v>
      </c>
      <c r="Z138" t="s">
        <v>192</v>
      </c>
      <c r="AB138" t="str">
        <f t="shared" si="14"/>
        <v>02616630022</v>
      </c>
      <c r="AC138" t="s">
        <v>116</v>
      </c>
      <c r="AD138" t="s">
        <v>193</v>
      </c>
      <c r="AF138">
        <v>2022</v>
      </c>
      <c r="AG138">
        <v>3919</v>
      </c>
      <c r="AH138" t="str">
        <f t="shared" si="13"/>
        <v>1</v>
      </c>
      <c r="AI138" t="str">
        <f>"5220234998"</f>
        <v>5220234998</v>
      </c>
      <c r="AJ138" s="1">
        <v>44914</v>
      </c>
      <c r="AL138">
        <v>31.32</v>
      </c>
      <c r="AM138" t="str">
        <f>"8670011855"</f>
        <v>8670011855</v>
      </c>
      <c r="AN138">
        <v>2023</v>
      </c>
      <c r="AO138">
        <v>19</v>
      </c>
      <c r="AP138">
        <v>31.32</v>
      </c>
      <c r="AQ138">
        <v>0</v>
      </c>
      <c r="AR138" s="2">
        <v>11297.11</v>
      </c>
      <c r="AS138" t="s">
        <v>194</v>
      </c>
      <c r="AT138">
        <v>28.47</v>
      </c>
      <c r="AU138">
        <v>2.85</v>
      </c>
      <c r="AV138">
        <v>2023</v>
      </c>
      <c r="AW138">
        <v>15</v>
      </c>
      <c r="AX138">
        <v>670</v>
      </c>
      <c r="AY138">
        <v>0</v>
      </c>
      <c r="AZ138" t="s">
        <v>201</v>
      </c>
      <c r="BA138">
        <v>31.32</v>
      </c>
      <c r="BB138" s="1">
        <v>44949</v>
      </c>
    </row>
    <row r="139" spans="1:54" x14ac:dyDescent="0.25">
      <c r="A139">
        <v>2023</v>
      </c>
      <c r="B139">
        <v>39</v>
      </c>
      <c r="C139" s="1">
        <v>44949</v>
      </c>
      <c r="D139">
        <v>2023</v>
      </c>
      <c r="E139">
        <v>2022</v>
      </c>
      <c r="F139">
        <v>720</v>
      </c>
      <c r="H139" t="s">
        <v>200</v>
      </c>
      <c r="I139">
        <v>130</v>
      </c>
      <c r="J139">
        <v>0</v>
      </c>
      <c r="K139" t="s">
        <v>128</v>
      </c>
      <c r="R139" t="s">
        <v>190</v>
      </c>
      <c r="S139" t="str">
        <f t="shared" si="12"/>
        <v>31</v>
      </c>
      <c r="T139" t="s">
        <v>122</v>
      </c>
      <c r="W139" t="s">
        <v>198</v>
      </c>
      <c r="Y139">
        <v>3344</v>
      </c>
      <c r="Z139" t="s">
        <v>192</v>
      </c>
      <c r="AB139" t="str">
        <f t="shared" si="14"/>
        <v>02616630022</v>
      </c>
      <c r="AC139" t="s">
        <v>116</v>
      </c>
      <c r="AD139" t="s">
        <v>193</v>
      </c>
      <c r="AF139">
        <v>2022</v>
      </c>
      <c r="AG139">
        <v>3920</v>
      </c>
      <c r="AH139" t="str">
        <f t="shared" si="13"/>
        <v>1</v>
      </c>
      <c r="AI139" t="str">
        <f>"5220235041"</f>
        <v>5220235041</v>
      </c>
      <c r="AJ139" s="1">
        <v>44914</v>
      </c>
      <c r="AL139">
        <v>837.96</v>
      </c>
      <c r="AM139" t="str">
        <f>"8669900655"</f>
        <v>8669900655</v>
      </c>
      <c r="AN139">
        <v>2023</v>
      </c>
      <c r="AO139">
        <v>19</v>
      </c>
      <c r="AP139">
        <v>837.96</v>
      </c>
      <c r="AQ139">
        <v>0</v>
      </c>
      <c r="AR139" s="2">
        <v>11297.11</v>
      </c>
      <c r="AS139" t="s">
        <v>194</v>
      </c>
      <c r="AT139">
        <v>760.31</v>
      </c>
      <c r="AU139">
        <v>76.03</v>
      </c>
      <c r="AV139">
        <v>2023</v>
      </c>
      <c r="AW139">
        <v>15</v>
      </c>
      <c r="AX139">
        <v>670</v>
      </c>
      <c r="AY139">
        <v>0</v>
      </c>
      <c r="AZ139" t="s">
        <v>201</v>
      </c>
      <c r="BA139">
        <v>837.96</v>
      </c>
      <c r="BB139" s="1">
        <v>44949</v>
      </c>
    </row>
    <row r="140" spans="1:54" x14ac:dyDescent="0.25">
      <c r="A140">
        <v>2023</v>
      </c>
      <c r="B140">
        <v>39</v>
      </c>
      <c r="C140" s="1">
        <v>44949</v>
      </c>
      <c r="D140">
        <v>2023</v>
      </c>
      <c r="E140">
        <v>2022</v>
      </c>
      <c r="F140">
        <v>720</v>
      </c>
      <c r="H140" t="s">
        <v>200</v>
      </c>
      <c r="I140">
        <v>130</v>
      </c>
      <c r="J140">
        <v>0</v>
      </c>
      <c r="K140" t="s">
        <v>128</v>
      </c>
      <c r="R140" t="s">
        <v>190</v>
      </c>
      <c r="S140" t="str">
        <f t="shared" si="12"/>
        <v>31</v>
      </c>
      <c r="T140" t="s">
        <v>122</v>
      </c>
      <c r="W140" t="s">
        <v>198</v>
      </c>
      <c r="Y140">
        <v>3344</v>
      </c>
      <c r="Z140" t="s">
        <v>192</v>
      </c>
      <c r="AB140" t="str">
        <f t="shared" si="14"/>
        <v>02616630022</v>
      </c>
      <c r="AC140" t="s">
        <v>116</v>
      </c>
      <c r="AD140" t="s">
        <v>193</v>
      </c>
      <c r="AF140">
        <v>2022</v>
      </c>
      <c r="AG140">
        <v>3921</v>
      </c>
      <c r="AH140" t="str">
        <f t="shared" si="13"/>
        <v>1</v>
      </c>
      <c r="AI140" t="str">
        <f>"5220235024"</f>
        <v>5220235024</v>
      </c>
      <c r="AJ140" s="1">
        <v>44914</v>
      </c>
      <c r="AL140">
        <v>429.13</v>
      </c>
      <c r="AM140" t="str">
        <f>"8669868751"</f>
        <v>8669868751</v>
      </c>
      <c r="AN140">
        <v>2023</v>
      </c>
      <c r="AO140">
        <v>19</v>
      </c>
      <c r="AP140">
        <v>429.13</v>
      </c>
      <c r="AQ140">
        <v>0</v>
      </c>
      <c r="AR140" s="2">
        <v>11297.11</v>
      </c>
      <c r="AS140" t="s">
        <v>194</v>
      </c>
      <c r="AT140">
        <v>390.04</v>
      </c>
      <c r="AU140">
        <v>39</v>
      </c>
      <c r="AV140">
        <v>2023</v>
      </c>
      <c r="AW140">
        <v>15</v>
      </c>
      <c r="AX140">
        <v>670</v>
      </c>
      <c r="AY140">
        <v>0</v>
      </c>
      <c r="AZ140" t="s">
        <v>201</v>
      </c>
      <c r="BA140">
        <v>429.13</v>
      </c>
      <c r="BB140" s="1">
        <v>44949</v>
      </c>
    </row>
    <row r="141" spans="1:54" x14ac:dyDescent="0.25">
      <c r="A141">
        <v>2023</v>
      </c>
      <c r="B141">
        <v>39</v>
      </c>
      <c r="C141" s="1">
        <v>44949</v>
      </c>
      <c r="D141">
        <v>2023</v>
      </c>
      <c r="E141">
        <v>2022</v>
      </c>
      <c r="F141">
        <v>720</v>
      </c>
      <c r="H141" t="s">
        <v>200</v>
      </c>
      <c r="I141">
        <v>130</v>
      </c>
      <c r="J141">
        <v>0</v>
      </c>
      <c r="K141" t="s">
        <v>128</v>
      </c>
      <c r="R141" t="s">
        <v>190</v>
      </c>
      <c r="S141" t="str">
        <f t="shared" si="12"/>
        <v>31</v>
      </c>
      <c r="T141" t="s">
        <v>122</v>
      </c>
      <c r="W141" t="s">
        <v>198</v>
      </c>
      <c r="Y141">
        <v>3344</v>
      </c>
      <c r="Z141" t="s">
        <v>192</v>
      </c>
      <c r="AB141" t="str">
        <f t="shared" si="14"/>
        <v>02616630022</v>
      </c>
      <c r="AC141" t="s">
        <v>116</v>
      </c>
      <c r="AD141" t="s">
        <v>193</v>
      </c>
      <c r="AF141">
        <v>2022</v>
      </c>
      <c r="AG141">
        <v>3922</v>
      </c>
      <c r="AH141" t="str">
        <f t="shared" si="13"/>
        <v>1</v>
      </c>
      <c r="AI141" t="str">
        <f>"5220234980"</f>
        <v>5220234980</v>
      </c>
      <c r="AJ141" s="1">
        <v>44914</v>
      </c>
      <c r="AL141">
        <v>165.82</v>
      </c>
      <c r="AM141" t="str">
        <f>"8670035200"</f>
        <v>8670035200</v>
      </c>
      <c r="AN141">
        <v>2023</v>
      </c>
      <c r="AO141">
        <v>19</v>
      </c>
      <c r="AP141">
        <v>165.82</v>
      </c>
      <c r="AQ141">
        <v>0</v>
      </c>
      <c r="AR141" s="2">
        <v>11297.11</v>
      </c>
      <c r="AS141" t="s">
        <v>194</v>
      </c>
      <c r="AT141">
        <v>150.38999999999999</v>
      </c>
      <c r="AU141">
        <v>15.04</v>
      </c>
      <c r="AV141">
        <v>2023</v>
      </c>
      <c r="AW141">
        <v>15</v>
      </c>
      <c r="AX141">
        <v>670</v>
      </c>
      <c r="AY141">
        <v>0</v>
      </c>
      <c r="AZ141" t="s">
        <v>201</v>
      </c>
      <c r="BA141">
        <v>165.82</v>
      </c>
      <c r="BB141" s="1">
        <v>44949</v>
      </c>
    </row>
    <row r="142" spans="1:54" x14ac:dyDescent="0.25">
      <c r="A142">
        <v>2023</v>
      </c>
      <c r="B142">
        <v>39</v>
      </c>
      <c r="C142" s="1">
        <v>44949</v>
      </c>
      <c r="D142">
        <v>2023</v>
      </c>
      <c r="E142">
        <v>2022</v>
      </c>
      <c r="F142">
        <v>720</v>
      </c>
      <c r="H142" t="s">
        <v>200</v>
      </c>
      <c r="I142">
        <v>130</v>
      </c>
      <c r="J142">
        <v>0</v>
      </c>
      <c r="K142" t="s">
        <v>128</v>
      </c>
      <c r="R142" t="s">
        <v>190</v>
      </c>
      <c r="S142" t="str">
        <f t="shared" si="12"/>
        <v>31</v>
      </c>
      <c r="T142" t="s">
        <v>122</v>
      </c>
      <c r="W142" t="s">
        <v>198</v>
      </c>
      <c r="Y142">
        <v>3344</v>
      </c>
      <c r="Z142" t="s">
        <v>192</v>
      </c>
      <c r="AB142" t="str">
        <f t="shared" si="14"/>
        <v>02616630022</v>
      </c>
      <c r="AC142" t="s">
        <v>116</v>
      </c>
      <c r="AD142" t="s">
        <v>193</v>
      </c>
      <c r="AF142">
        <v>2022</v>
      </c>
      <c r="AG142">
        <v>3924</v>
      </c>
      <c r="AH142" t="str">
        <f t="shared" si="13"/>
        <v>1</v>
      </c>
      <c r="AI142" t="str">
        <f>"5220234930"</f>
        <v>5220234930</v>
      </c>
      <c r="AJ142" s="1">
        <v>44914</v>
      </c>
      <c r="AL142" s="2">
        <v>2520.8000000000002</v>
      </c>
      <c r="AM142" t="str">
        <f>"8670004861"</f>
        <v>8670004861</v>
      </c>
      <c r="AN142">
        <v>2023</v>
      </c>
      <c r="AO142">
        <v>19</v>
      </c>
      <c r="AP142" s="2">
        <v>2520.8000000000002</v>
      </c>
      <c r="AQ142">
        <v>0</v>
      </c>
      <c r="AR142" s="2">
        <v>11297.11</v>
      </c>
      <c r="AS142" t="s">
        <v>194</v>
      </c>
      <c r="AT142">
        <v>2289.8200000000002</v>
      </c>
      <c r="AU142">
        <v>228.98</v>
      </c>
      <c r="AV142">
        <v>2023</v>
      </c>
      <c r="AW142">
        <v>15</v>
      </c>
      <c r="AX142">
        <v>670</v>
      </c>
      <c r="AY142">
        <v>0</v>
      </c>
      <c r="AZ142" t="s">
        <v>201</v>
      </c>
      <c r="BA142">
        <v>2520.8000000000002</v>
      </c>
      <c r="BB142" s="1">
        <v>44949</v>
      </c>
    </row>
    <row r="143" spans="1:54" x14ac:dyDescent="0.25">
      <c r="A143">
        <v>2023</v>
      </c>
      <c r="B143">
        <v>39</v>
      </c>
      <c r="C143" s="1">
        <v>44949</v>
      </c>
      <c r="D143">
        <v>2023</v>
      </c>
      <c r="E143">
        <v>2022</v>
      </c>
      <c r="F143">
        <v>720</v>
      </c>
      <c r="H143" t="s">
        <v>200</v>
      </c>
      <c r="I143">
        <v>130</v>
      </c>
      <c r="J143">
        <v>0</v>
      </c>
      <c r="K143" t="s">
        <v>128</v>
      </c>
      <c r="R143" t="s">
        <v>190</v>
      </c>
      <c r="S143" t="str">
        <f t="shared" si="12"/>
        <v>31</v>
      </c>
      <c r="T143" t="s">
        <v>122</v>
      </c>
      <c r="W143" t="s">
        <v>198</v>
      </c>
      <c r="Y143">
        <v>3344</v>
      </c>
      <c r="Z143" t="s">
        <v>192</v>
      </c>
      <c r="AB143" t="str">
        <f t="shared" si="14"/>
        <v>02616630022</v>
      </c>
      <c r="AC143" t="s">
        <v>116</v>
      </c>
      <c r="AD143" t="s">
        <v>193</v>
      </c>
      <c r="AF143">
        <v>2022</v>
      </c>
      <c r="AG143">
        <v>3925</v>
      </c>
      <c r="AH143" t="str">
        <f t="shared" si="13"/>
        <v>1</v>
      </c>
      <c r="AI143" t="str">
        <f>"5220234977"</f>
        <v>5220234977</v>
      </c>
      <c r="AJ143" s="1">
        <v>44914</v>
      </c>
      <c r="AL143">
        <v>40.549999999999997</v>
      </c>
      <c r="AM143" t="str">
        <f>"8670007456"</f>
        <v>8670007456</v>
      </c>
      <c r="AN143">
        <v>2023</v>
      </c>
      <c r="AO143">
        <v>19</v>
      </c>
      <c r="AP143">
        <v>40.549999999999997</v>
      </c>
      <c r="AQ143">
        <v>0</v>
      </c>
      <c r="AR143" s="2">
        <v>11297.11</v>
      </c>
      <c r="AS143" t="s">
        <v>177</v>
      </c>
      <c r="AT143">
        <v>33.19</v>
      </c>
      <c r="AU143">
        <v>7.3</v>
      </c>
      <c r="AV143">
        <v>2023</v>
      </c>
      <c r="AW143">
        <v>15</v>
      </c>
      <c r="AX143">
        <v>670</v>
      </c>
      <c r="AY143">
        <v>0</v>
      </c>
      <c r="AZ143" t="s">
        <v>201</v>
      </c>
      <c r="BA143">
        <v>40.549999999999997</v>
      </c>
      <c r="BB143" s="1">
        <v>44949</v>
      </c>
    </row>
    <row r="144" spans="1:54" x14ac:dyDescent="0.25">
      <c r="A144">
        <v>2023</v>
      </c>
      <c r="B144">
        <v>39</v>
      </c>
      <c r="C144" s="1">
        <v>44949</v>
      </c>
      <c r="D144">
        <v>2023</v>
      </c>
      <c r="E144">
        <v>2022</v>
      </c>
      <c r="F144">
        <v>720</v>
      </c>
      <c r="H144" t="s">
        <v>200</v>
      </c>
      <c r="I144">
        <v>130</v>
      </c>
      <c r="J144">
        <v>0</v>
      </c>
      <c r="K144" t="s">
        <v>128</v>
      </c>
      <c r="R144" t="s">
        <v>190</v>
      </c>
      <c r="S144" t="str">
        <f t="shared" si="12"/>
        <v>31</v>
      </c>
      <c r="T144" t="s">
        <v>122</v>
      </c>
      <c r="W144" t="s">
        <v>198</v>
      </c>
      <c r="Y144">
        <v>3344</v>
      </c>
      <c r="Z144" t="s">
        <v>192</v>
      </c>
      <c r="AB144" t="str">
        <f t="shared" si="14"/>
        <v>02616630022</v>
      </c>
      <c r="AC144" t="s">
        <v>116</v>
      </c>
      <c r="AD144" t="s">
        <v>193</v>
      </c>
      <c r="AF144">
        <v>2022</v>
      </c>
      <c r="AG144">
        <v>3926</v>
      </c>
      <c r="AH144" t="str">
        <f t="shared" si="13"/>
        <v>1</v>
      </c>
      <c r="AI144" t="str">
        <f>"5220235023"</f>
        <v>5220235023</v>
      </c>
      <c r="AJ144" s="1">
        <v>44914</v>
      </c>
      <c r="AL144">
        <v>34.119999999999997</v>
      </c>
      <c r="AM144" t="str">
        <f>"8669922660"</f>
        <v>8669922660</v>
      </c>
      <c r="AN144">
        <v>2023</v>
      </c>
      <c r="AO144">
        <v>19</v>
      </c>
      <c r="AP144">
        <v>34.119999999999997</v>
      </c>
      <c r="AQ144">
        <v>0</v>
      </c>
      <c r="AR144" s="2">
        <v>11297.11</v>
      </c>
      <c r="AS144" t="s">
        <v>194</v>
      </c>
      <c r="AT144">
        <v>23</v>
      </c>
      <c r="AU144">
        <v>2.2999999999999998</v>
      </c>
      <c r="AV144">
        <v>2023</v>
      </c>
      <c r="AW144">
        <v>15</v>
      </c>
      <c r="AX144">
        <v>670</v>
      </c>
      <c r="AY144">
        <v>0</v>
      </c>
      <c r="AZ144" t="s">
        <v>201</v>
      </c>
      <c r="BA144">
        <v>34.119999999999997</v>
      </c>
      <c r="BB144" s="1">
        <v>44949</v>
      </c>
    </row>
    <row r="145" spans="1:54" x14ac:dyDescent="0.25">
      <c r="A145">
        <v>2023</v>
      </c>
      <c r="B145">
        <v>39</v>
      </c>
      <c r="C145" s="1">
        <v>44949</v>
      </c>
      <c r="D145">
        <v>2023</v>
      </c>
      <c r="E145">
        <v>2022</v>
      </c>
      <c r="F145">
        <v>720</v>
      </c>
      <c r="H145" t="s">
        <v>200</v>
      </c>
      <c r="I145">
        <v>130</v>
      </c>
      <c r="J145">
        <v>0</v>
      </c>
      <c r="K145" t="s">
        <v>128</v>
      </c>
      <c r="R145" t="s">
        <v>190</v>
      </c>
      <c r="S145" t="str">
        <f t="shared" si="12"/>
        <v>31</v>
      </c>
      <c r="T145" t="s">
        <v>122</v>
      </c>
      <c r="W145" t="s">
        <v>198</v>
      </c>
      <c r="Y145">
        <v>3344</v>
      </c>
      <c r="Z145" t="s">
        <v>192</v>
      </c>
      <c r="AB145" t="str">
        <f t="shared" si="14"/>
        <v>02616630022</v>
      </c>
      <c r="AC145" t="s">
        <v>116</v>
      </c>
      <c r="AD145" t="s">
        <v>193</v>
      </c>
      <c r="AF145">
        <v>2022</v>
      </c>
      <c r="AG145">
        <v>3927</v>
      </c>
      <c r="AH145" t="str">
        <f t="shared" si="13"/>
        <v>1</v>
      </c>
      <c r="AI145" t="str">
        <f>"5220235037"</f>
        <v>5220235037</v>
      </c>
      <c r="AJ145" s="1">
        <v>44914</v>
      </c>
      <c r="AL145">
        <v>34.590000000000003</v>
      </c>
      <c r="AM145" t="str">
        <f>"8670040460"</f>
        <v>8670040460</v>
      </c>
      <c r="AN145">
        <v>2023</v>
      </c>
      <c r="AO145">
        <v>19</v>
      </c>
      <c r="AP145">
        <v>34.590000000000003</v>
      </c>
      <c r="AQ145">
        <v>0</v>
      </c>
      <c r="AR145" s="2">
        <v>11297.11</v>
      </c>
      <c r="AS145" t="s">
        <v>177</v>
      </c>
      <c r="AT145">
        <v>28.3</v>
      </c>
      <c r="AU145">
        <v>6.23</v>
      </c>
      <c r="AV145">
        <v>2023</v>
      </c>
      <c r="AW145">
        <v>15</v>
      </c>
      <c r="AX145">
        <v>670</v>
      </c>
      <c r="AY145">
        <v>0</v>
      </c>
      <c r="AZ145" t="s">
        <v>201</v>
      </c>
      <c r="BA145">
        <v>34.590000000000003</v>
      </c>
      <c r="BB145" s="1">
        <v>44949</v>
      </c>
    </row>
    <row r="146" spans="1:54" x14ac:dyDescent="0.25">
      <c r="A146">
        <v>2023</v>
      </c>
      <c r="B146">
        <v>39</v>
      </c>
      <c r="C146" s="1">
        <v>44949</v>
      </c>
      <c r="D146">
        <v>2023</v>
      </c>
      <c r="E146">
        <v>2022</v>
      </c>
      <c r="F146">
        <v>720</v>
      </c>
      <c r="H146" t="s">
        <v>200</v>
      </c>
      <c r="I146">
        <v>130</v>
      </c>
      <c r="J146">
        <v>0</v>
      </c>
      <c r="K146" t="s">
        <v>128</v>
      </c>
      <c r="R146" t="s">
        <v>190</v>
      </c>
      <c r="S146" t="str">
        <f t="shared" si="12"/>
        <v>31</v>
      </c>
      <c r="T146" t="s">
        <v>122</v>
      </c>
      <c r="W146" t="s">
        <v>198</v>
      </c>
      <c r="Y146">
        <v>3344</v>
      </c>
      <c r="Z146" t="s">
        <v>192</v>
      </c>
      <c r="AB146" t="str">
        <f t="shared" si="14"/>
        <v>02616630022</v>
      </c>
      <c r="AC146" t="s">
        <v>116</v>
      </c>
      <c r="AD146" t="s">
        <v>193</v>
      </c>
      <c r="AF146">
        <v>2022</v>
      </c>
      <c r="AG146">
        <v>3930</v>
      </c>
      <c r="AH146" t="str">
        <f t="shared" si="13"/>
        <v>1</v>
      </c>
      <c r="AI146" t="str">
        <f>"5220235059"</f>
        <v>5220235059</v>
      </c>
      <c r="AJ146" s="1">
        <v>44914</v>
      </c>
      <c r="AL146">
        <v>37.68</v>
      </c>
      <c r="AM146" t="str">
        <f>"8669852558"</f>
        <v>8669852558</v>
      </c>
      <c r="AN146">
        <v>2023</v>
      </c>
      <c r="AO146">
        <v>19</v>
      </c>
      <c r="AP146">
        <v>37.68</v>
      </c>
      <c r="AQ146">
        <v>0</v>
      </c>
      <c r="AR146" s="2">
        <v>11297.11</v>
      </c>
      <c r="AS146" t="s">
        <v>194</v>
      </c>
      <c r="AT146">
        <v>34.200000000000003</v>
      </c>
      <c r="AU146">
        <v>3.42</v>
      </c>
      <c r="AV146">
        <v>2023</v>
      </c>
      <c r="AW146">
        <v>15</v>
      </c>
      <c r="AX146">
        <v>670</v>
      </c>
      <c r="AY146">
        <v>0</v>
      </c>
      <c r="AZ146" t="s">
        <v>201</v>
      </c>
      <c r="BA146">
        <v>37.68</v>
      </c>
      <c r="BB146" s="1">
        <v>44949</v>
      </c>
    </row>
    <row r="147" spans="1:54" x14ac:dyDescent="0.25">
      <c r="A147">
        <v>2023</v>
      </c>
      <c r="B147">
        <v>39</v>
      </c>
      <c r="C147" s="1">
        <v>44949</v>
      </c>
      <c r="D147">
        <v>2023</v>
      </c>
      <c r="E147">
        <v>2022</v>
      </c>
      <c r="F147">
        <v>720</v>
      </c>
      <c r="H147" t="s">
        <v>200</v>
      </c>
      <c r="I147">
        <v>130</v>
      </c>
      <c r="J147">
        <v>0</v>
      </c>
      <c r="K147" t="s">
        <v>128</v>
      </c>
      <c r="R147" t="s">
        <v>190</v>
      </c>
      <c r="S147" t="str">
        <f t="shared" si="12"/>
        <v>31</v>
      </c>
      <c r="T147" t="s">
        <v>122</v>
      </c>
      <c r="W147" t="s">
        <v>198</v>
      </c>
      <c r="Y147">
        <v>3344</v>
      </c>
      <c r="Z147" t="s">
        <v>192</v>
      </c>
      <c r="AB147" t="str">
        <f t="shared" si="14"/>
        <v>02616630022</v>
      </c>
      <c r="AC147" t="s">
        <v>116</v>
      </c>
      <c r="AD147" t="s">
        <v>193</v>
      </c>
      <c r="AF147">
        <v>2022</v>
      </c>
      <c r="AG147">
        <v>3932</v>
      </c>
      <c r="AH147" t="str">
        <f t="shared" si="13"/>
        <v>1</v>
      </c>
      <c r="AI147" t="str">
        <f>"5220234917"</f>
        <v>5220234917</v>
      </c>
      <c r="AJ147" s="1">
        <v>44914</v>
      </c>
      <c r="AL147">
        <v>258.37</v>
      </c>
      <c r="AM147" t="str">
        <f>"8669960065"</f>
        <v>8669960065</v>
      </c>
      <c r="AN147">
        <v>2023</v>
      </c>
      <c r="AO147">
        <v>19</v>
      </c>
      <c r="AP147">
        <v>258.37</v>
      </c>
      <c r="AQ147">
        <v>0</v>
      </c>
      <c r="AR147" s="2">
        <v>11297.11</v>
      </c>
      <c r="AS147" t="s">
        <v>194</v>
      </c>
      <c r="AT147">
        <v>234.4</v>
      </c>
      <c r="AU147">
        <v>23.44</v>
      </c>
      <c r="AV147">
        <v>2023</v>
      </c>
      <c r="AW147">
        <v>15</v>
      </c>
      <c r="AX147">
        <v>670</v>
      </c>
      <c r="AY147">
        <v>0</v>
      </c>
      <c r="AZ147" t="s">
        <v>201</v>
      </c>
      <c r="BA147">
        <v>258.37</v>
      </c>
      <c r="BB147" s="1">
        <v>44949</v>
      </c>
    </row>
    <row r="148" spans="1:54" x14ac:dyDescent="0.25">
      <c r="A148">
        <v>2023</v>
      </c>
      <c r="B148">
        <v>40</v>
      </c>
      <c r="C148" s="1">
        <v>44949</v>
      </c>
      <c r="D148">
        <v>2023</v>
      </c>
      <c r="E148">
        <v>2022</v>
      </c>
      <c r="F148">
        <v>720</v>
      </c>
      <c r="H148" t="s">
        <v>200</v>
      </c>
      <c r="I148">
        <v>130</v>
      </c>
      <c r="J148">
        <v>0</v>
      </c>
      <c r="K148" t="s">
        <v>128</v>
      </c>
      <c r="R148" t="s">
        <v>190</v>
      </c>
      <c r="S148" t="str">
        <f t="shared" si="12"/>
        <v>31</v>
      </c>
      <c r="T148" t="s">
        <v>122</v>
      </c>
      <c r="W148" t="s">
        <v>198</v>
      </c>
      <c r="Y148">
        <v>3344</v>
      </c>
      <c r="Z148" t="s">
        <v>192</v>
      </c>
      <c r="AB148" t="str">
        <f t="shared" si="14"/>
        <v>02616630022</v>
      </c>
      <c r="AC148" t="s">
        <v>116</v>
      </c>
      <c r="AD148" t="s">
        <v>193</v>
      </c>
      <c r="AF148">
        <v>2022</v>
      </c>
      <c r="AG148">
        <v>3834</v>
      </c>
      <c r="AH148" t="str">
        <f t="shared" si="13"/>
        <v>1</v>
      </c>
      <c r="AI148" t="str">
        <f>"5220235013"</f>
        <v>5220235013</v>
      </c>
      <c r="AJ148" s="1">
        <v>44914</v>
      </c>
      <c r="AL148">
        <v>11.98</v>
      </c>
      <c r="AM148" t="str">
        <f>"8669847306"</f>
        <v>8669847306</v>
      </c>
      <c r="AN148">
        <v>2023</v>
      </c>
      <c r="AO148">
        <v>20</v>
      </c>
      <c r="AP148">
        <v>11.98</v>
      </c>
      <c r="AQ148">
        <v>0</v>
      </c>
      <c r="AR148" s="2">
        <v>5211.68</v>
      </c>
      <c r="AS148" t="s">
        <v>194</v>
      </c>
      <c r="AT148">
        <v>10.87</v>
      </c>
      <c r="AU148">
        <v>1.0900000000000001</v>
      </c>
      <c r="AV148">
        <v>2023</v>
      </c>
      <c r="AW148">
        <v>16</v>
      </c>
      <c r="AX148">
        <v>670</v>
      </c>
      <c r="AY148">
        <v>0</v>
      </c>
      <c r="AZ148" t="s">
        <v>203</v>
      </c>
      <c r="BA148">
        <v>11.98</v>
      </c>
      <c r="BB148" s="1">
        <v>44949</v>
      </c>
    </row>
    <row r="149" spans="1:54" x14ac:dyDescent="0.25">
      <c r="A149">
        <v>2023</v>
      </c>
      <c r="B149">
        <v>40</v>
      </c>
      <c r="C149" s="1">
        <v>44949</v>
      </c>
      <c r="D149">
        <v>2023</v>
      </c>
      <c r="E149">
        <v>2022</v>
      </c>
      <c r="F149">
        <v>720</v>
      </c>
      <c r="H149" t="s">
        <v>200</v>
      </c>
      <c r="I149">
        <v>130</v>
      </c>
      <c r="J149">
        <v>0</v>
      </c>
      <c r="K149" t="s">
        <v>128</v>
      </c>
      <c r="R149" t="s">
        <v>190</v>
      </c>
      <c r="S149" t="str">
        <f t="shared" si="12"/>
        <v>31</v>
      </c>
      <c r="T149" t="s">
        <v>122</v>
      </c>
      <c r="W149" t="s">
        <v>198</v>
      </c>
      <c r="Y149">
        <v>3344</v>
      </c>
      <c r="Z149" t="s">
        <v>192</v>
      </c>
      <c r="AB149" t="str">
        <f t="shared" si="14"/>
        <v>02616630022</v>
      </c>
      <c r="AC149" t="s">
        <v>116</v>
      </c>
      <c r="AD149" t="s">
        <v>193</v>
      </c>
      <c r="AF149">
        <v>2022</v>
      </c>
      <c r="AG149">
        <v>3846</v>
      </c>
      <c r="AH149" t="str">
        <f t="shared" si="13"/>
        <v>1</v>
      </c>
      <c r="AI149" t="str">
        <f>"5220235015"</f>
        <v>5220235015</v>
      </c>
      <c r="AJ149" s="1">
        <v>44914</v>
      </c>
      <c r="AL149">
        <v>10.46</v>
      </c>
      <c r="AM149" t="str">
        <f>"8669889504"</f>
        <v>8669889504</v>
      </c>
      <c r="AN149">
        <v>2023</v>
      </c>
      <c r="AO149">
        <v>20</v>
      </c>
      <c r="AP149">
        <v>10.46</v>
      </c>
      <c r="AQ149">
        <v>0</v>
      </c>
      <c r="AR149" s="2">
        <v>5211.68</v>
      </c>
      <c r="AS149" t="s">
        <v>194</v>
      </c>
      <c r="AT149">
        <v>9.49</v>
      </c>
      <c r="AU149">
        <v>0.95</v>
      </c>
      <c r="AV149">
        <v>2023</v>
      </c>
      <c r="AW149">
        <v>16</v>
      </c>
      <c r="AX149">
        <v>670</v>
      </c>
      <c r="AY149">
        <v>0</v>
      </c>
      <c r="AZ149" t="s">
        <v>203</v>
      </c>
      <c r="BA149">
        <v>10.46</v>
      </c>
      <c r="BB149" s="1">
        <v>44949</v>
      </c>
    </row>
    <row r="150" spans="1:54" x14ac:dyDescent="0.25">
      <c r="A150">
        <v>2023</v>
      </c>
      <c r="B150">
        <v>40</v>
      </c>
      <c r="C150" s="1">
        <v>44949</v>
      </c>
      <c r="D150">
        <v>2023</v>
      </c>
      <c r="E150">
        <v>2022</v>
      </c>
      <c r="F150">
        <v>720</v>
      </c>
      <c r="H150" t="s">
        <v>200</v>
      </c>
      <c r="I150">
        <v>130</v>
      </c>
      <c r="J150">
        <v>0</v>
      </c>
      <c r="K150" t="s">
        <v>128</v>
      </c>
      <c r="R150" t="s">
        <v>190</v>
      </c>
      <c r="S150" t="str">
        <f t="shared" si="12"/>
        <v>31</v>
      </c>
      <c r="T150" t="s">
        <v>122</v>
      </c>
      <c r="W150" t="s">
        <v>198</v>
      </c>
      <c r="Y150">
        <v>3344</v>
      </c>
      <c r="Z150" t="s">
        <v>192</v>
      </c>
      <c r="AB150" t="str">
        <f t="shared" si="14"/>
        <v>02616630022</v>
      </c>
      <c r="AC150" t="s">
        <v>116</v>
      </c>
      <c r="AD150" t="s">
        <v>193</v>
      </c>
      <c r="AF150">
        <v>2022</v>
      </c>
      <c r="AG150">
        <v>3867</v>
      </c>
      <c r="AH150" t="str">
        <f t="shared" si="13"/>
        <v>1</v>
      </c>
      <c r="AI150" t="str">
        <f>"5220234956"</f>
        <v>5220234956</v>
      </c>
      <c r="AJ150" s="1">
        <v>44914</v>
      </c>
      <c r="AL150">
        <v>3.84</v>
      </c>
      <c r="AM150" t="str">
        <f>"8669981114"</f>
        <v>8669981114</v>
      </c>
      <c r="AN150">
        <v>2023</v>
      </c>
      <c r="AO150">
        <v>20</v>
      </c>
      <c r="AP150">
        <v>3.84</v>
      </c>
      <c r="AQ150">
        <v>0</v>
      </c>
      <c r="AR150" s="2">
        <v>5211.68</v>
      </c>
      <c r="AS150" t="s">
        <v>194</v>
      </c>
      <c r="AT150">
        <v>1.96</v>
      </c>
      <c r="AU150">
        <v>0.2</v>
      </c>
      <c r="AV150">
        <v>2023</v>
      </c>
      <c r="AW150">
        <v>16</v>
      </c>
      <c r="AX150">
        <v>670</v>
      </c>
      <c r="AY150">
        <v>0</v>
      </c>
      <c r="AZ150" t="s">
        <v>203</v>
      </c>
      <c r="BA150">
        <v>3.84</v>
      </c>
      <c r="BB150" s="1">
        <v>44949</v>
      </c>
    </row>
    <row r="151" spans="1:54" x14ac:dyDescent="0.25">
      <c r="A151">
        <v>2023</v>
      </c>
      <c r="B151">
        <v>40</v>
      </c>
      <c r="C151" s="1">
        <v>44949</v>
      </c>
      <c r="D151">
        <v>2023</v>
      </c>
      <c r="E151">
        <v>2022</v>
      </c>
      <c r="F151">
        <v>720</v>
      </c>
      <c r="H151" t="s">
        <v>200</v>
      </c>
      <c r="I151">
        <v>130</v>
      </c>
      <c r="J151">
        <v>0</v>
      </c>
      <c r="K151" t="s">
        <v>128</v>
      </c>
      <c r="R151" t="s">
        <v>190</v>
      </c>
      <c r="S151" t="str">
        <f t="shared" si="12"/>
        <v>31</v>
      </c>
      <c r="T151" t="s">
        <v>122</v>
      </c>
      <c r="W151" t="s">
        <v>198</v>
      </c>
      <c r="Y151">
        <v>3344</v>
      </c>
      <c r="Z151" t="s">
        <v>192</v>
      </c>
      <c r="AB151" t="str">
        <f t="shared" si="14"/>
        <v>02616630022</v>
      </c>
      <c r="AC151" t="s">
        <v>116</v>
      </c>
      <c r="AD151" t="s">
        <v>193</v>
      </c>
      <c r="AF151">
        <v>2022</v>
      </c>
      <c r="AG151">
        <v>3875</v>
      </c>
      <c r="AH151" t="str">
        <f t="shared" si="13"/>
        <v>1</v>
      </c>
      <c r="AI151" t="str">
        <f>"5220235001"</f>
        <v>5220235001</v>
      </c>
      <c r="AJ151" s="1">
        <v>44914</v>
      </c>
      <c r="AL151">
        <v>3.07</v>
      </c>
      <c r="AM151" t="str">
        <f>"8670089606"</f>
        <v>8670089606</v>
      </c>
      <c r="AN151">
        <v>2023</v>
      </c>
      <c r="AO151">
        <v>20</v>
      </c>
      <c r="AP151">
        <v>3.07</v>
      </c>
      <c r="AQ151">
        <v>0</v>
      </c>
      <c r="AR151" s="2">
        <v>5211.68</v>
      </c>
      <c r="AS151" t="s">
        <v>194</v>
      </c>
      <c r="AT151">
        <v>1.81</v>
      </c>
      <c r="AU151">
        <v>0.18</v>
      </c>
      <c r="AV151">
        <v>2023</v>
      </c>
      <c r="AW151">
        <v>16</v>
      </c>
      <c r="AX151">
        <v>670</v>
      </c>
      <c r="AY151">
        <v>0</v>
      </c>
      <c r="AZ151" t="s">
        <v>203</v>
      </c>
      <c r="BA151">
        <v>3.07</v>
      </c>
      <c r="BB151" s="1">
        <v>44949</v>
      </c>
    </row>
    <row r="152" spans="1:54" x14ac:dyDescent="0.25">
      <c r="A152">
        <v>2023</v>
      </c>
      <c r="B152">
        <v>40</v>
      </c>
      <c r="C152" s="1">
        <v>44949</v>
      </c>
      <c r="D152">
        <v>2023</v>
      </c>
      <c r="E152">
        <v>2022</v>
      </c>
      <c r="F152">
        <v>720</v>
      </c>
      <c r="H152" t="s">
        <v>200</v>
      </c>
      <c r="I152">
        <v>130</v>
      </c>
      <c r="J152">
        <v>0</v>
      </c>
      <c r="K152" t="s">
        <v>128</v>
      </c>
      <c r="R152" t="s">
        <v>190</v>
      </c>
      <c r="S152" t="str">
        <f t="shared" si="12"/>
        <v>31</v>
      </c>
      <c r="T152" t="s">
        <v>122</v>
      </c>
      <c r="W152" t="s">
        <v>198</v>
      </c>
      <c r="Y152">
        <v>3344</v>
      </c>
      <c r="Z152" t="s">
        <v>192</v>
      </c>
      <c r="AB152" t="str">
        <f t="shared" si="14"/>
        <v>02616630022</v>
      </c>
      <c r="AC152" t="s">
        <v>116</v>
      </c>
      <c r="AD152" t="s">
        <v>193</v>
      </c>
      <c r="AF152">
        <v>2022</v>
      </c>
      <c r="AG152">
        <v>3933</v>
      </c>
      <c r="AH152" t="str">
        <f t="shared" si="13"/>
        <v>1</v>
      </c>
      <c r="AI152" t="str">
        <f>"5220235004"</f>
        <v>5220235004</v>
      </c>
      <c r="AJ152" s="1">
        <v>44914</v>
      </c>
      <c r="AL152">
        <v>2.1800000000000002</v>
      </c>
      <c r="AM152" t="str">
        <f>"8669997967"</f>
        <v>8669997967</v>
      </c>
      <c r="AN152">
        <v>2023</v>
      </c>
      <c r="AO152">
        <v>20</v>
      </c>
      <c r="AP152">
        <v>2.1800000000000002</v>
      </c>
      <c r="AQ152">
        <v>0</v>
      </c>
      <c r="AR152" s="2">
        <v>5211.68</v>
      </c>
      <c r="AS152" t="s">
        <v>194</v>
      </c>
      <c r="AT152">
        <v>1.98</v>
      </c>
      <c r="AU152">
        <v>0.2</v>
      </c>
      <c r="AV152">
        <v>2023</v>
      </c>
      <c r="AW152">
        <v>16</v>
      </c>
      <c r="AX152">
        <v>670</v>
      </c>
      <c r="AY152">
        <v>0</v>
      </c>
      <c r="AZ152" t="s">
        <v>203</v>
      </c>
      <c r="BA152">
        <v>2.1800000000000002</v>
      </c>
      <c r="BB152" s="1">
        <v>44949</v>
      </c>
    </row>
    <row r="153" spans="1:54" x14ac:dyDescent="0.25">
      <c r="A153">
        <v>2023</v>
      </c>
      <c r="B153">
        <v>40</v>
      </c>
      <c r="C153" s="1">
        <v>44949</v>
      </c>
      <c r="D153">
        <v>2023</v>
      </c>
      <c r="E153">
        <v>2022</v>
      </c>
      <c r="F153">
        <v>720</v>
      </c>
      <c r="H153" t="s">
        <v>200</v>
      </c>
      <c r="I153">
        <v>130</v>
      </c>
      <c r="J153">
        <v>0</v>
      </c>
      <c r="K153" t="s">
        <v>128</v>
      </c>
      <c r="R153" t="s">
        <v>190</v>
      </c>
      <c r="S153" t="str">
        <f t="shared" si="12"/>
        <v>31</v>
      </c>
      <c r="T153" t="s">
        <v>122</v>
      </c>
      <c r="W153" t="s">
        <v>198</v>
      </c>
      <c r="Y153">
        <v>3344</v>
      </c>
      <c r="Z153" t="s">
        <v>192</v>
      </c>
      <c r="AB153" t="str">
        <f t="shared" si="14"/>
        <v>02616630022</v>
      </c>
      <c r="AC153" t="s">
        <v>116</v>
      </c>
      <c r="AD153" t="s">
        <v>193</v>
      </c>
      <c r="AF153">
        <v>2022</v>
      </c>
      <c r="AG153">
        <v>3934</v>
      </c>
      <c r="AH153" t="str">
        <f t="shared" si="13"/>
        <v>1</v>
      </c>
      <c r="AI153" t="str">
        <f>"5220235027"</f>
        <v>5220235027</v>
      </c>
      <c r="AJ153" s="1">
        <v>44914</v>
      </c>
      <c r="AL153">
        <v>189.51</v>
      </c>
      <c r="AM153" t="str">
        <f>"8669921067"</f>
        <v>8669921067</v>
      </c>
      <c r="AN153">
        <v>2023</v>
      </c>
      <c r="AO153">
        <v>19</v>
      </c>
      <c r="AP153">
        <v>189.51</v>
      </c>
      <c r="AQ153">
        <v>0</v>
      </c>
      <c r="AR153" s="2">
        <v>5211.68</v>
      </c>
      <c r="AS153" t="s">
        <v>194</v>
      </c>
      <c r="AT153">
        <v>171.95</v>
      </c>
      <c r="AU153">
        <v>17.2</v>
      </c>
      <c r="AV153">
        <v>2023</v>
      </c>
      <c r="AW153">
        <v>16</v>
      </c>
      <c r="AX153">
        <v>670</v>
      </c>
      <c r="AY153">
        <v>0</v>
      </c>
      <c r="AZ153" t="s">
        <v>203</v>
      </c>
      <c r="BA153">
        <v>189.51</v>
      </c>
      <c r="BB153" s="1">
        <v>44949</v>
      </c>
    </row>
    <row r="154" spans="1:54" x14ac:dyDescent="0.25">
      <c r="A154">
        <v>2023</v>
      </c>
      <c r="B154">
        <v>40</v>
      </c>
      <c r="C154" s="1">
        <v>44949</v>
      </c>
      <c r="D154">
        <v>2023</v>
      </c>
      <c r="E154">
        <v>2022</v>
      </c>
      <c r="F154">
        <v>720</v>
      </c>
      <c r="H154" t="s">
        <v>200</v>
      </c>
      <c r="I154">
        <v>130</v>
      </c>
      <c r="J154">
        <v>0</v>
      </c>
      <c r="K154" t="s">
        <v>128</v>
      </c>
      <c r="R154" t="s">
        <v>190</v>
      </c>
      <c r="S154" t="str">
        <f t="shared" si="12"/>
        <v>31</v>
      </c>
      <c r="T154" t="s">
        <v>122</v>
      </c>
      <c r="W154" t="s">
        <v>198</v>
      </c>
      <c r="Y154">
        <v>3344</v>
      </c>
      <c r="Z154" t="s">
        <v>192</v>
      </c>
      <c r="AB154" t="str">
        <f t="shared" si="14"/>
        <v>02616630022</v>
      </c>
      <c r="AC154" t="s">
        <v>116</v>
      </c>
      <c r="AD154" t="s">
        <v>193</v>
      </c>
      <c r="AF154">
        <v>2022</v>
      </c>
      <c r="AG154">
        <v>3936</v>
      </c>
      <c r="AH154" t="str">
        <f t="shared" si="13"/>
        <v>1</v>
      </c>
      <c r="AI154" t="str">
        <f>"5220234999"</f>
        <v>5220234999</v>
      </c>
      <c r="AJ154" s="1">
        <v>44914</v>
      </c>
      <c r="AL154">
        <v>29.67</v>
      </c>
      <c r="AM154" t="str">
        <f>"8670054169"</f>
        <v>8670054169</v>
      </c>
      <c r="AN154">
        <v>2023</v>
      </c>
      <c r="AO154">
        <v>19</v>
      </c>
      <c r="AP154">
        <v>29.67</v>
      </c>
      <c r="AQ154">
        <v>0</v>
      </c>
      <c r="AR154" s="2">
        <v>5211.68</v>
      </c>
      <c r="AS154" t="s">
        <v>194</v>
      </c>
      <c r="AT154">
        <v>26.84</v>
      </c>
      <c r="AU154">
        <v>2.68</v>
      </c>
      <c r="AV154">
        <v>2023</v>
      </c>
      <c r="AW154">
        <v>16</v>
      </c>
      <c r="AX154">
        <v>670</v>
      </c>
      <c r="AY154">
        <v>0</v>
      </c>
      <c r="AZ154" t="s">
        <v>203</v>
      </c>
      <c r="BA154">
        <v>29.67</v>
      </c>
      <c r="BB154" s="1">
        <v>44949</v>
      </c>
    </row>
    <row r="155" spans="1:54" x14ac:dyDescent="0.25">
      <c r="A155">
        <v>2023</v>
      </c>
      <c r="B155">
        <v>40</v>
      </c>
      <c r="C155" s="1">
        <v>44949</v>
      </c>
      <c r="D155">
        <v>2023</v>
      </c>
      <c r="E155">
        <v>2022</v>
      </c>
      <c r="F155">
        <v>720</v>
      </c>
      <c r="H155" t="s">
        <v>200</v>
      </c>
      <c r="I155">
        <v>130</v>
      </c>
      <c r="J155">
        <v>0</v>
      </c>
      <c r="K155" t="s">
        <v>128</v>
      </c>
      <c r="R155" t="s">
        <v>190</v>
      </c>
      <c r="S155" t="str">
        <f t="shared" si="12"/>
        <v>31</v>
      </c>
      <c r="T155" t="s">
        <v>122</v>
      </c>
      <c r="W155" t="s">
        <v>198</v>
      </c>
      <c r="Y155">
        <v>3344</v>
      </c>
      <c r="Z155" t="s">
        <v>192</v>
      </c>
      <c r="AB155" t="str">
        <f t="shared" si="14"/>
        <v>02616630022</v>
      </c>
      <c r="AC155" t="s">
        <v>116</v>
      </c>
      <c r="AD155" t="s">
        <v>193</v>
      </c>
      <c r="AF155">
        <v>2022</v>
      </c>
      <c r="AG155">
        <v>3938</v>
      </c>
      <c r="AH155" t="str">
        <f t="shared" si="13"/>
        <v>1</v>
      </c>
      <c r="AI155" t="str">
        <f>"5220234939"</f>
        <v>5220234939</v>
      </c>
      <c r="AJ155" s="1">
        <v>44914</v>
      </c>
      <c r="AL155">
        <v>289.83</v>
      </c>
      <c r="AM155" t="str">
        <f>"8670057461"</f>
        <v>8670057461</v>
      </c>
      <c r="AN155">
        <v>2023</v>
      </c>
      <c r="AO155">
        <v>19</v>
      </c>
      <c r="AP155">
        <v>289.83</v>
      </c>
      <c r="AQ155">
        <v>0</v>
      </c>
      <c r="AR155" s="2">
        <v>5211.68</v>
      </c>
      <c r="AS155" t="s">
        <v>194</v>
      </c>
      <c r="AT155">
        <v>263.24</v>
      </c>
      <c r="AU155">
        <v>26.32</v>
      </c>
      <c r="AV155">
        <v>2023</v>
      </c>
      <c r="AW155">
        <v>16</v>
      </c>
      <c r="AX155">
        <v>670</v>
      </c>
      <c r="AY155">
        <v>0</v>
      </c>
      <c r="AZ155" t="s">
        <v>203</v>
      </c>
      <c r="BA155">
        <v>289.83</v>
      </c>
      <c r="BB155" s="1">
        <v>44949</v>
      </c>
    </row>
    <row r="156" spans="1:54" x14ac:dyDescent="0.25">
      <c r="A156">
        <v>2023</v>
      </c>
      <c r="B156">
        <v>40</v>
      </c>
      <c r="C156" s="1">
        <v>44949</v>
      </c>
      <c r="D156">
        <v>2023</v>
      </c>
      <c r="E156">
        <v>2022</v>
      </c>
      <c r="F156">
        <v>720</v>
      </c>
      <c r="H156" t="s">
        <v>200</v>
      </c>
      <c r="I156">
        <v>130</v>
      </c>
      <c r="J156">
        <v>0</v>
      </c>
      <c r="K156" t="s">
        <v>128</v>
      </c>
      <c r="R156" t="s">
        <v>190</v>
      </c>
      <c r="S156" t="str">
        <f t="shared" si="12"/>
        <v>31</v>
      </c>
      <c r="T156" t="s">
        <v>122</v>
      </c>
      <c r="W156" t="s">
        <v>198</v>
      </c>
      <c r="Y156">
        <v>3344</v>
      </c>
      <c r="Z156" t="s">
        <v>192</v>
      </c>
      <c r="AB156" t="str">
        <f t="shared" si="14"/>
        <v>02616630022</v>
      </c>
      <c r="AC156" t="s">
        <v>116</v>
      </c>
      <c r="AD156" t="s">
        <v>193</v>
      </c>
      <c r="AF156">
        <v>2022</v>
      </c>
      <c r="AG156">
        <v>3939</v>
      </c>
      <c r="AH156" t="str">
        <f t="shared" si="13"/>
        <v>1</v>
      </c>
      <c r="AI156" t="str">
        <f>"5220234995"</f>
        <v>5220234995</v>
      </c>
      <c r="AJ156" s="1">
        <v>44914</v>
      </c>
      <c r="AL156">
        <v>24.92</v>
      </c>
      <c r="AM156" t="str">
        <f>"8670008062"</f>
        <v>8670008062</v>
      </c>
      <c r="AN156">
        <v>2023</v>
      </c>
      <c r="AO156">
        <v>19</v>
      </c>
      <c r="AP156">
        <v>24.92</v>
      </c>
      <c r="AQ156">
        <v>0</v>
      </c>
      <c r="AR156" s="2">
        <v>5211.68</v>
      </c>
      <c r="AS156" t="s">
        <v>194</v>
      </c>
      <c r="AT156">
        <v>22.62</v>
      </c>
      <c r="AU156">
        <v>2.2599999999999998</v>
      </c>
      <c r="AV156">
        <v>2023</v>
      </c>
      <c r="AW156">
        <v>16</v>
      </c>
      <c r="AX156">
        <v>670</v>
      </c>
      <c r="AY156">
        <v>0</v>
      </c>
      <c r="AZ156" t="s">
        <v>203</v>
      </c>
      <c r="BA156">
        <v>24.92</v>
      </c>
      <c r="BB156" s="1">
        <v>44949</v>
      </c>
    </row>
    <row r="157" spans="1:54" x14ac:dyDescent="0.25">
      <c r="A157">
        <v>2023</v>
      </c>
      <c r="B157">
        <v>40</v>
      </c>
      <c r="C157" s="1">
        <v>44949</v>
      </c>
      <c r="D157">
        <v>2023</v>
      </c>
      <c r="E157">
        <v>2022</v>
      </c>
      <c r="F157">
        <v>720</v>
      </c>
      <c r="H157" t="s">
        <v>200</v>
      </c>
      <c r="I157">
        <v>130</v>
      </c>
      <c r="J157">
        <v>0</v>
      </c>
      <c r="K157" t="s">
        <v>128</v>
      </c>
      <c r="R157" t="s">
        <v>190</v>
      </c>
      <c r="S157" t="str">
        <f t="shared" si="12"/>
        <v>31</v>
      </c>
      <c r="T157" t="s">
        <v>122</v>
      </c>
      <c r="W157" t="s">
        <v>198</v>
      </c>
      <c r="Y157">
        <v>3344</v>
      </c>
      <c r="Z157" t="s">
        <v>192</v>
      </c>
      <c r="AB157" t="str">
        <f t="shared" si="14"/>
        <v>02616630022</v>
      </c>
      <c r="AC157" t="s">
        <v>116</v>
      </c>
      <c r="AD157" t="s">
        <v>193</v>
      </c>
      <c r="AF157">
        <v>2022</v>
      </c>
      <c r="AG157">
        <v>3940</v>
      </c>
      <c r="AH157" t="str">
        <f t="shared" si="13"/>
        <v>1</v>
      </c>
      <c r="AI157" t="str">
        <f>"5220235008"</f>
        <v>5220235008</v>
      </c>
      <c r="AJ157" s="1">
        <v>44914</v>
      </c>
      <c r="AL157">
        <v>15.02</v>
      </c>
      <c r="AM157" t="str">
        <f>"8669969264"</f>
        <v>8669969264</v>
      </c>
      <c r="AN157">
        <v>2023</v>
      </c>
      <c r="AO157">
        <v>19</v>
      </c>
      <c r="AP157">
        <v>15.02</v>
      </c>
      <c r="AQ157">
        <v>0</v>
      </c>
      <c r="AR157" s="2">
        <v>5211.68</v>
      </c>
      <c r="AS157" t="s">
        <v>194</v>
      </c>
      <c r="AT157">
        <v>13.64</v>
      </c>
      <c r="AU157">
        <v>1.36</v>
      </c>
      <c r="AV157">
        <v>2023</v>
      </c>
      <c r="AW157">
        <v>16</v>
      </c>
      <c r="AX157">
        <v>670</v>
      </c>
      <c r="AY157">
        <v>0</v>
      </c>
      <c r="AZ157" t="s">
        <v>203</v>
      </c>
      <c r="BA157">
        <v>15.02</v>
      </c>
      <c r="BB157" s="1">
        <v>44949</v>
      </c>
    </row>
    <row r="158" spans="1:54" x14ac:dyDescent="0.25">
      <c r="A158">
        <v>2023</v>
      </c>
      <c r="B158">
        <v>40</v>
      </c>
      <c r="C158" s="1">
        <v>44949</v>
      </c>
      <c r="D158">
        <v>2023</v>
      </c>
      <c r="E158">
        <v>2022</v>
      </c>
      <c r="F158">
        <v>720</v>
      </c>
      <c r="H158" t="s">
        <v>200</v>
      </c>
      <c r="I158">
        <v>130</v>
      </c>
      <c r="J158">
        <v>0</v>
      </c>
      <c r="K158" t="s">
        <v>128</v>
      </c>
      <c r="R158" t="s">
        <v>190</v>
      </c>
      <c r="S158" t="str">
        <f t="shared" si="12"/>
        <v>31</v>
      </c>
      <c r="T158" t="s">
        <v>122</v>
      </c>
      <c r="W158" t="s">
        <v>198</v>
      </c>
      <c r="Y158">
        <v>3344</v>
      </c>
      <c r="Z158" t="s">
        <v>192</v>
      </c>
      <c r="AB158" t="str">
        <f t="shared" si="14"/>
        <v>02616630022</v>
      </c>
      <c r="AC158" t="s">
        <v>116</v>
      </c>
      <c r="AD158" t="s">
        <v>193</v>
      </c>
      <c r="AF158">
        <v>2022</v>
      </c>
      <c r="AG158">
        <v>3941</v>
      </c>
      <c r="AH158" t="str">
        <f t="shared" si="13"/>
        <v>1</v>
      </c>
      <c r="AI158" t="str">
        <f>"5220234928"</f>
        <v>5220234928</v>
      </c>
      <c r="AJ158" s="1">
        <v>44914</v>
      </c>
      <c r="AL158" s="2">
        <v>1486.45</v>
      </c>
      <c r="AM158" t="str">
        <f>"8670024472"</f>
        <v>8670024472</v>
      </c>
      <c r="AN158">
        <v>2023</v>
      </c>
      <c r="AO158">
        <v>19</v>
      </c>
      <c r="AP158" s="2">
        <v>1486.45</v>
      </c>
      <c r="AQ158">
        <v>0</v>
      </c>
      <c r="AR158" s="2">
        <v>5211.68</v>
      </c>
      <c r="AS158" t="s">
        <v>194</v>
      </c>
      <c r="AT158">
        <v>1349.63</v>
      </c>
      <c r="AU158">
        <v>134.96</v>
      </c>
      <c r="AV158">
        <v>2023</v>
      </c>
      <c r="AW158">
        <v>16</v>
      </c>
      <c r="AX158">
        <v>670</v>
      </c>
      <c r="AY158">
        <v>0</v>
      </c>
      <c r="AZ158" t="s">
        <v>203</v>
      </c>
      <c r="BA158">
        <v>1486.45</v>
      </c>
      <c r="BB158" s="1">
        <v>44949</v>
      </c>
    </row>
    <row r="159" spans="1:54" x14ac:dyDescent="0.25">
      <c r="A159">
        <v>2023</v>
      </c>
      <c r="B159">
        <v>40</v>
      </c>
      <c r="C159" s="1">
        <v>44949</v>
      </c>
      <c r="D159">
        <v>2023</v>
      </c>
      <c r="E159">
        <v>2022</v>
      </c>
      <c r="F159">
        <v>720</v>
      </c>
      <c r="H159" t="s">
        <v>200</v>
      </c>
      <c r="I159">
        <v>130</v>
      </c>
      <c r="J159">
        <v>0</v>
      </c>
      <c r="K159" t="s">
        <v>128</v>
      </c>
      <c r="R159" t="s">
        <v>190</v>
      </c>
      <c r="S159" t="str">
        <f t="shared" si="12"/>
        <v>31</v>
      </c>
      <c r="T159" t="s">
        <v>122</v>
      </c>
      <c r="W159" t="s">
        <v>198</v>
      </c>
      <c r="Y159">
        <v>3344</v>
      </c>
      <c r="Z159" t="s">
        <v>192</v>
      </c>
      <c r="AB159" t="str">
        <f t="shared" si="14"/>
        <v>02616630022</v>
      </c>
      <c r="AC159" t="s">
        <v>116</v>
      </c>
      <c r="AD159" t="s">
        <v>193</v>
      </c>
      <c r="AF159">
        <v>2022</v>
      </c>
      <c r="AG159">
        <v>3942</v>
      </c>
      <c r="AH159" t="str">
        <f t="shared" si="13"/>
        <v>1</v>
      </c>
      <c r="AI159" t="str">
        <f>"5220235025"</f>
        <v>5220235025</v>
      </c>
      <c r="AJ159" s="1">
        <v>44914</v>
      </c>
      <c r="AL159">
        <v>279.64</v>
      </c>
      <c r="AM159" t="str">
        <f>"8669872875"</f>
        <v>8669872875</v>
      </c>
      <c r="AN159">
        <v>2023</v>
      </c>
      <c r="AO159">
        <v>19</v>
      </c>
      <c r="AP159">
        <v>279.64</v>
      </c>
      <c r="AQ159">
        <v>0</v>
      </c>
      <c r="AR159" s="2">
        <v>5211.68</v>
      </c>
      <c r="AS159" t="s">
        <v>194</v>
      </c>
      <c r="AT159">
        <v>253.99</v>
      </c>
      <c r="AU159">
        <v>25.4</v>
      </c>
      <c r="AV159">
        <v>2023</v>
      </c>
      <c r="AW159">
        <v>16</v>
      </c>
      <c r="AX159">
        <v>670</v>
      </c>
      <c r="AY159">
        <v>0</v>
      </c>
      <c r="AZ159" t="s">
        <v>203</v>
      </c>
      <c r="BA159">
        <v>279.64</v>
      </c>
      <c r="BB159" s="1">
        <v>44949</v>
      </c>
    </row>
    <row r="160" spans="1:54" x14ac:dyDescent="0.25">
      <c r="A160">
        <v>2023</v>
      </c>
      <c r="B160">
        <v>40</v>
      </c>
      <c r="C160" s="1">
        <v>44949</v>
      </c>
      <c r="D160">
        <v>2023</v>
      </c>
      <c r="E160">
        <v>2022</v>
      </c>
      <c r="F160">
        <v>720</v>
      </c>
      <c r="H160" t="s">
        <v>200</v>
      </c>
      <c r="I160">
        <v>130</v>
      </c>
      <c r="J160">
        <v>0</v>
      </c>
      <c r="K160" t="s">
        <v>128</v>
      </c>
      <c r="R160" t="s">
        <v>190</v>
      </c>
      <c r="S160" t="str">
        <f t="shared" si="12"/>
        <v>31</v>
      </c>
      <c r="T160" t="s">
        <v>122</v>
      </c>
      <c r="W160" t="s">
        <v>198</v>
      </c>
      <c r="Y160">
        <v>3344</v>
      </c>
      <c r="Z160" t="s">
        <v>192</v>
      </c>
      <c r="AB160" t="str">
        <f t="shared" si="14"/>
        <v>02616630022</v>
      </c>
      <c r="AC160" t="s">
        <v>116</v>
      </c>
      <c r="AD160" t="s">
        <v>193</v>
      </c>
      <c r="AF160">
        <v>2022</v>
      </c>
      <c r="AG160">
        <v>3943</v>
      </c>
      <c r="AH160" t="str">
        <f t="shared" si="13"/>
        <v>1</v>
      </c>
      <c r="AI160" t="str">
        <f>"5220234984"</f>
        <v>5220234984</v>
      </c>
      <c r="AJ160" s="1">
        <v>44914</v>
      </c>
      <c r="AL160">
        <v>36.18</v>
      </c>
      <c r="AM160" t="str">
        <f>"8669985976"</f>
        <v>8669985976</v>
      </c>
      <c r="AN160">
        <v>2023</v>
      </c>
      <c r="AO160">
        <v>19</v>
      </c>
      <c r="AP160">
        <v>36.18</v>
      </c>
      <c r="AQ160">
        <v>0</v>
      </c>
      <c r="AR160" s="2">
        <v>5211.68</v>
      </c>
      <c r="AS160" t="s">
        <v>194</v>
      </c>
      <c r="AT160">
        <v>32.86</v>
      </c>
      <c r="AU160">
        <v>3.29</v>
      </c>
      <c r="AV160">
        <v>2023</v>
      </c>
      <c r="AW160">
        <v>16</v>
      </c>
      <c r="AX160">
        <v>670</v>
      </c>
      <c r="AY160">
        <v>0</v>
      </c>
      <c r="AZ160" t="s">
        <v>203</v>
      </c>
      <c r="BA160">
        <v>36.18</v>
      </c>
      <c r="BB160" s="1">
        <v>44949</v>
      </c>
    </row>
    <row r="161" spans="1:54" x14ac:dyDescent="0.25">
      <c r="A161">
        <v>2023</v>
      </c>
      <c r="B161">
        <v>40</v>
      </c>
      <c r="C161" s="1">
        <v>44949</v>
      </c>
      <c r="D161">
        <v>2023</v>
      </c>
      <c r="E161">
        <v>2022</v>
      </c>
      <c r="F161">
        <v>720</v>
      </c>
      <c r="H161" t="s">
        <v>200</v>
      </c>
      <c r="I161">
        <v>130</v>
      </c>
      <c r="J161">
        <v>0</v>
      </c>
      <c r="K161" t="s">
        <v>128</v>
      </c>
      <c r="R161" t="s">
        <v>190</v>
      </c>
      <c r="S161" t="str">
        <f t="shared" si="12"/>
        <v>31</v>
      </c>
      <c r="T161" t="s">
        <v>122</v>
      </c>
      <c r="W161" t="s">
        <v>198</v>
      </c>
      <c r="Y161">
        <v>3344</v>
      </c>
      <c r="Z161" t="s">
        <v>192</v>
      </c>
      <c r="AB161" t="str">
        <f t="shared" si="14"/>
        <v>02616630022</v>
      </c>
      <c r="AC161" t="s">
        <v>116</v>
      </c>
      <c r="AD161" t="s">
        <v>193</v>
      </c>
      <c r="AF161">
        <v>2022</v>
      </c>
      <c r="AG161">
        <v>3945</v>
      </c>
      <c r="AH161" t="str">
        <f t="shared" si="13"/>
        <v>1</v>
      </c>
      <c r="AI161" t="str">
        <f>"5220235000"</f>
        <v>5220235000</v>
      </c>
      <c r="AJ161" s="1">
        <v>44914</v>
      </c>
      <c r="AL161">
        <v>92.7</v>
      </c>
      <c r="AM161" t="str">
        <f>"8670073775"</f>
        <v>8670073775</v>
      </c>
      <c r="AN161">
        <v>2023</v>
      </c>
      <c r="AO161">
        <v>19</v>
      </c>
      <c r="AP161">
        <v>92.7</v>
      </c>
      <c r="AQ161">
        <v>0</v>
      </c>
      <c r="AR161" s="2">
        <v>5211.68</v>
      </c>
      <c r="AS161" t="s">
        <v>194</v>
      </c>
      <c r="AT161">
        <v>84.19</v>
      </c>
      <c r="AU161">
        <v>8.42</v>
      </c>
      <c r="AV161">
        <v>2023</v>
      </c>
      <c r="AW161">
        <v>16</v>
      </c>
      <c r="AX161">
        <v>670</v>
      </c>
      <c r="AY161">
        <v>0</v>
      </c>
      <c r="AZ161" t="s">
        <v>203</v>
      </c>
      <c r="BA161">
        <v>92.7</v>
      </c>
      <c r="BB161" s="1">
        <v>44949</v>
      </c>
    </row>
    <row r="162" spans="1:54" x14ac:dyDescent="0.25">
      <c r="A162">
        <v>2023</v>
      </c>
      <c r="B162">
        <v>40</v>
      </c>
      <c r="C162" s="1">
        <v>44949</v>
      </c>
      <c r="D162">
        <v>2023</v>
      </c>
      <c r="E162">
        <v>2022</v>
      </c>
      <c r="F162">
        <v>720</v>
      </c>
      <c r="H162" t="s">
        <v>200</v>
      </c>
      <c r="I162">
        <v>130</v>
      </c>
      <c r="J162">
        <v>0</v>
      </c>
      <c r="K162" t="s">
        <v>128</v>
      </c>
      <c r="R162" t="s">
        <v>190</v>
      </c>
      <c r="S162" t="str">
        <f t="shared" ref="S162:S195" si="15">"31"</f>
        <v>31</v>
      </c>
      <c r="T162" t="s">
        <v>122</v>
      </c>
      <c r="W162" t="s">
        <v>198</v>
      </c>
      <c r="Y162">
        <v>3344</v>
      </c>
      <c r="Z162" t="s">
        <v>192</v>
      </c>
      <c r="AB162" t="str">
        <f t="shared" si="14"/>
        <v>02616630022</v>
      </c>
      <c r="AC162" t="s">
        <v>116</v>
      </c>
      <c r="AD162" t="s">
        <v>193</v>
      </c>
      <c r="AF162">
        <v>2022</v>
      </c>
      <c r="AG162">
        <v>3946</v>
      </c>
      <c r="AH162" t="str">
        <f t="shared" si="13"/>
        <v>1</v>
      </c>
      <c r="AI162" t="str">
        <f>"5220234919"</f>
        <v>5220234919</v>
      </c>
      <c r="AJ162" s="1">
        <v>44914</v>
      </c>
      <c r="AL162" s="2">
        <v>3931.18</v>
      </c>
      <c r="AM162" t="str">
        <f>"8670029566"</f>
        <v>8670029566</v>
      </c>
      <c r="AN162">
        <v>2023</v>
      </c>
      <c r="AO162">
        <v>19</v>
      </c>
      <c r="AP162" s="2">
        <v>3931.18</v>
      </c>
      <c r="AQ162">
        <v>0</v>
      </c>
      <c r="AR162" s="2">
        <v>5211.68</v>
      </c>
      <c r="AS162" t="s">
        <v>194</v>
      </c>
      <c r="AT162">
        <v>3571.59</v>
      </c>
      <c r="AU162">
        <v>357.16</v>
      </c>
      <c r="AV162">
        <v>2023</v>
      </c>
      <c r="AW162">
        <v>16</v>
      </c>
      <c r="AX162">
        <v>670</v>
      </c>
      <c r="AY162">
        <v>0</v>
      </c>
      <c r="AZ162" t="s">
        <v>203</v>
      </c>
      <c r="BA162">
        <v>3931.18</v>
      </c>
      <c r="BB162" s="1">
        <v>44949</v>
      </c>
    </row>
    <row r="163" spans="1:54" x14ac:dyDescent="0.25">
      <c r="A163">
        <v>2023</v>
      </c>
      <c r="B163">
        <v>40</v>
      </c>
      <c r="C163" s="1">
        <v>44949</v>
      </c>
      <c r="D163">
        <v>2023</v>
      </c>
      <c r="E163">
        <v>2022</v>
      </c>
      <c r="F163">
        <v>720</v>
      </c>
      <c r="H163" t="s">
        <v>200</v>
      </c>
      <c r="I163">
        <v>130</v>
      </c>
      <c r="J163">
        <v>0</v>
      </c>
      <c r="K163" t="s">
        <v>128</v>
      </c>
      <c r="R163" t="s">
        <v>190</v>
      </c>
      <c r="S163" t="str">
        <f t="shared" si="15"/>
        <v>31</v>
      </c>
      <c r="T163" t="s">
        <v>122</v>
      </c>
      <c r="W163" t="s">
        <v>198</v>
      </c>
      <c r="Y163">
        <v>3344</v>
      </c>
      <c r="Z163" t="s">
        <v>192</v>
      </c>
      <c r="AB163" t="str">
        <f t="shared" si="14"/>
        <v>02616630022</v>
      </c>
      <c r="AC163" t="s">
        <v>116</v>
      </c>
      <c r="AD163" t="s">
        <v>193</v>
      </c>
      <c r="AF163">
        <v>2022</v>
      </c>
      <c r="AG163">
        <v>3947</v>
      </c>
      <c r="AH163" t="str">
        <f t="shared" si="13"/>
        <v>1</v>
      </c>
      <c r="AI163" t="str">
        <f>"5220235061"</f>
        <v>5220235061</v>
      </c>
      <c r="AJ163" s="1">
        <v>44914</v>
      </c>
      <c r="AL163">
        <v>21.4</v>
      </c>
      <c r="AM163" t="str">
        <f>"8669849276"</f>
        <v>8669849276</v>
      </c>
      <c r="AN163">
        <v>2023</v>
      </c>
      <c r="AO163">
        <v>19</v>
      </c>
      <c r="AP163">
        <v>21.4</v>
      </c>
      <c r="AQ163">
        <v>0</v>
      </c>
      <c r="AR163" s="2">
        <v>5211.68</v>
      </c>
      <c r="AS163" t="s">
        <v>194</v>
      </c>
      <c r="AT163">
        <v>19.420000000000002</v>
      </c>
      <c r="AU163">
        <v>1.94</v>
      </c>
      <c r="AV163">
        <v>2023</v>
      </c>
      <c r="AW163">
        <v>16</v>
      </c>
      <c r="AX163">
        <v>670</v>
      </c>
      <c r="AY163">
        <v>0</v>
      </c>
      <c r="AZ163" t="s">
        <v>203</v>
      </c>
      <c r="BA163">
        <v>21.4</v>
      </c>
      <c r="BB163" s="1">
        <v>44949</v>
      </c>
    </row>
    <row r="164" spans="1:54" x14ac:dyDescent="0.25">
      <c r="A164">
        <v>2023</v>
      </c>
      <c r="B164">
        <v>40</v>
      </c>
      <c r="C164" s="1">
        <v>44949</v>
      </c>
      <c r="D164">
        <v>2023</v>
      </c>
      <c r="E164">
        <v>2022</v>
      </c>
      <c r="F164">
        <v>720</v>
      </c>
      <c r="H164" t="s">
        <v>200</v>
      </c>
      <c r="I164">
        <v>130</v>
      </c>
      <c r="J164">
        <v>0</v>
      </c>
      <c r="K164" t="s">
        <v>128</v>
      </c>
      <c r="R164" t="s">
        <v>190</v>
      </c>
      <c r="S164" t="str">
        <f t="shared" si="15"/>
        <v>31</v>
      </c>
      <c r="T164" t="s">
        <v>122</v>
      </c>
      <c r="W164" t="s">
        <v>198</v>
      </c>
      <c r="Y164">
        <v>3344</v>
      </c>
      <c r="Z164" t="s">
        <v>192</v>
      </c>
      <c r="AB164" t="str">
        <f t="shared" si="14"/>
        <v>02616630022</v>
      </c>
      <c r="AC164" t="s">
        <v>116</v>
      </c>
      <c r="AD164" t="s">
        <v>193</v>
      </c>
      <c r="AF164">
        <v>2022</v>
      </c>
      <c r="AG164">
        <v>3948</v>
      </c>
      <c r="AH164" t="str">
        <f t="shared" ref="AH164:AH195" si="16">"1"</f>
        <v>1</v>
      </c>
      <c r="AI164" t="str">
        <f>"5220234985"</f>
        <v>5220234985</v>
      </c>
      <c r="AJ164" s="1">
        <v>44914</v>
      </c>
      <c r="AL164">
        <v>14.3</v>
      </c>
      <c r="AM164" t="str">
        <f>"8669986969"</f>
        <v>8669986969</v>
      </c>
      <c r="AN164">
        <v>2023</v>
      </c>
      <c r="AO164">
        <v>19</v>
      </c>
      <c r="AP164">
        <v>14.3</v>
      </c>
      <c r="AQ164">
        <v>0</v>
      </c>
      <c r="AR164" s="2">
        <v>5211.68</v>
      </c>
      <c r="AS164" t="s">
        <v>194</v>
      </c>
      <c r="AT164">
        <v>12.98</v>
      </c>
      <c r="AU164">
        <v>1.3</v>
      </c>
      <c r="AV164">
        <v>2023</v>
      </c>
      <c r="AW164">
        <v>16</v>
      </c>
      <c r="AX164">
        <v>670</v>
      </c>
      <c r="AY164">
        <v>0</v>
      </c>
      <c r="AZ164" t="s">
        <v>203</v>
      </c>
      <c r="BA164">
        <v>14.3</v>
      </c>
      <c r="BB164" s="1">
        <v>44949</v>
      </c>
    </row>
    <row r="165" spans="1:54" x14ac:dyDescent="0.25">
      <c r="A165">
        <v>2023</v>
      </c>
      <c r="B165">
        <v>40</v>
      </c>
      <c r="C165" s="1">
        <v>44949</v>
      </c>
      <c r="D165">
        <v>2023</v>
      </c>
      <c r="E165">
        <v>2022</v>
      </c>
      <c r="F165">
        <v>720</v>
      </c>
      <c r="H165" t="s">
        <v>200</v>
      </c>
      <c r="I165">
        <v>130</v>
      </c>
      <c r="J165">
        <v>0</v>
      </c>
      <c r="K165" t="s">
        <v>128</v>
      </c>
      <c r="R165" t="s">
        <v>190</v>
      </c>
      <c r="S165" t="str">
        <f t="shared" si="15"/>
        <v>31</v>
      </c>
      <c r="T165" t="s">
        <v>122</v>
      </c>
      <c r="W165" t="s">
        <v>198</v>
      </c>
      <c r="Y165">
        <v>3344</v>
      </c>
      <c r="Z165" t="s">
        <v>192</v>
      </c>
      <c r="AB165" t="str">
        <f t="shared" si="14"/>
        <v>02616630022</v>
      </c>
      <c r="AC165" t="s">
        <v>116</v>
      </c>
      <c r="AD165" t="s">
        <v>193</v>
      </c>
      <c r="AF165">
        <v>2022</v>
      </c>
      <c r="AG165">
        <v>3949</v>
      </c>
      <c r="AH165" t="str">
        <f t="shared" si="16"/>
        <v>1</v>
      </c>
      <c r="AI165" t="str">
        <f>"5220235022"</f>
        <v>5220235022</v>
      </c>
      <c r="AJ165" s="1">
        <v>44914</v>
      </c>
      <c r="AL165" s="2">
        <v>1414.82</v>
      </c>
      <c r="AM165" t="str">
        <f>"8669893379"</f>
        <v>8669893379</v>
      </c>
      <c r="AN165">
        <v>2023</v>
      </c>
      <c r="AO165">
        <v>19</v>
      </c>
      <c r="AP165" s="2">
        <v>1414.82</v>
      </c>
      <c r="AQ165">
        <v>0</v>
      </c>
      <c r="AR165" s="2">
        <v>5211.68</v>
      </c>
      <c r="AS165" t="s">
        <v>194</v>
      </c>
      <c r="AT165">
        <v>1281.24</v>
      </c>
      <c r="AU165">
        <v>128.12</v>
      </c>
      <c r="AV165">
        <v>2023</v>
      </c>
      <c r="AW165">
        <v>16</v>
      </c>
      <c r="AX165">
        <v>670</v>
      </c>
      <c r="AY165">
        <v>0</v>
      </c>
      <c r="AZ165" t="s">
        <v>203</v>
      </c>
      <c r="BA165">
        <v>1414.82</v>
      </c>
      <c r="BB165" s="1">
        <v>44949</v>
      </c>
    </row>
    <row r="166" spans="1:54" x14ac:dyDescent="0.25">
      <c r="A166">
        <v>2023</v>
      </c>
      <c r="B166">
        <v>40</v>
      </c>
      <c r="C166" s="1">
        <v>44949</v>
      </c>
      <c r="D166">
        <v>2023</v>
      </c>
      <c r="E166">
        <v>2022</v>
      </c>
      <c r="F166">
        <v>720</v>
      </c>
      <c r="H166" t="s">
        <v>200</v>
      </c>
      <c r="I166">
        <v>130</v>
      </c>
      <c r="J166">
        <v>0</v>
      </c>
      <c r="K166" t="s">
        <v>128</v>
      </c>
      <c r="R166" t="s">
        <v>190</v>
      </c>
      <c r="S166" t="str">
        <f t="shared" si="15"/>
        <v>31</v>
      </c>
      <c r="T166" t="s">
        <v>122</v>
      </c>
      <c r="W166" t="s">
        <v>198</v>
      </c>
      <c r="Y166">
        <v>3344</v>
      </c>
      <c r="Z166" t="s">
        <v>192</v>
      </c>
      <c r="AB166" t="str">
        <f t="shared" si="14"/>
        <v>02616630022</v>
      </c>
      <c r="AC166" t="s">
        <v>116</v>
      </c>
      <c r="AD166" t="s">
        <v>193</v>
      </c>
      <c r="AF166">
        <v>2022</v>
      </c>
      <c r="AG166">
        <v>3950</v>
      </c>
      <c r="AH166" t="str">
        <f t="shared" si="16"/>
        <v>1</v>
      </c>
      <c r="AI166" t="str">
        <f>"5220235068"</f>
        <v>5220235068</v>
      </c>
      <c r="AJ166" s="1">
        <v>44914</v>
      </c>
      <c r="AL166">
        <v>9.5500000000000007</v>
      </c>
      <c r="AM166" t="str">
        <f>"8669885670"</f>
        <v>8669885670</v>
      </c>
      <c r="AN166">
        <v>2023</v>
      </c>
      <c r="AO166">
        <v>19</v>
      </c>
      <c r="AP166">
        <v>9.5500000000000007</v>
      </c>
      <c r="AQ166">
        <v>0</v>
      </c>
      <c r="AR166" s="2">
        <v>5211.68</v>
      </c>
      <c r="AS166" t="s">
        <v>194</v>
      </c>
      <c r="AT166">
        <v>8.68</v>
      </c>
      <c r="AU166">
        <v>0.87</v>
      </c>
      <c r="AV166">
        <v>2023</v>
      </c>
      <c r="AW166">
        <v>16</v>
      </c>
      <c r="AX166">
        <v>670</v>
      </c>
      <c r="AY166">
        <v>0</v>
      </c>
      <c r="AZ166" t="s">
        <v>203</v>
      </c>
      <c r="BA166">
        <v>9.5500000000000007</v>
      </c>
      <c r="BB166" s="1">
        <v>44949</v>
      </c>
    </row>
    <row r="167" spans="1:54" x14ac:dyDescent="0.25">
      <c r="A167">
        <v>2023</v>
      </c>
      <c r="B167">
        <v>40</v>
      </c>
      <c r="C167" s="1">
        <v>44949</v>
      </c>
      <c r="D167">
        <v>2023</v>
      </c>
      <c r="E167">
        <v>2022</v>
      </c>
      <c r="F167">
        <v>720</v>
      </c>
      <c r="H167" t="s">
        <v>200</v>
      </c>
      <c r="I167">
        <v>130</v>
      </c>
      <c r="J167">
        <v>0</v>
      </c>
      <c r="K167" t="s">
        <v>128</v>
      </c>
      <c r="R167" t="s">
        <v>190</v>
      </c>
      <c r="S167" t="str">
        <f t="shared" si="15"/>
        <v>31</v>
      </c>
      <c r="T167" t="s">
        <v>122</v>
      </c>
      <c r="W167" t="s">
        <v>198</v>
      </c>
      <c r="Y167">
        <v>3344</v>
      </c>
      <c r="Z167" t="s">
        <v>192</v>
      </c>
      <c r="AB167" t="str">
        <f t="shared" ref="AB167:AB195" si="17">"02616630022"</f>
        <v>02616630022</v>
      </c>
      <c r="AC167" t="s">
        <v>116</v>
      </c>
      <c r="AD167" t="s">
        <v>193</v>
      </c>
      <c r="AF167">
        <v>2022</v>
      </c>
      <c r="AG167">
        <v>3951</v>
      </c>
      <c r="AH167" t="str">
        <f t="shared" si="16"/>
        <v>1</v>
      </c>
      <c r="AI167" t="str">
        <f>"5220235016"</f>
        <v>5220235016</v>
      </c>
      <c r="AJ167" s="1">
        <v>44914</v>
      </c>
      <c r="AL167" s="2">
        <v>1232.44</v>
      </c>
      <c r="AM167" t="str">
        <f>"8669920871"</f>
        <v>8669920871</v>
      </c>
      <c r="AN167">
        <v>2023</v>
      </c>
      <c r="AO167">
        <v>19</v>
      </c>
      <c r="AP167" s="2">
        <v>1232.44</v>
      </c>
      <c r="AQ167">
        <v>0</v>
      </c>
      <c r="AR167" s="2">
        <v>5211.68</v>
      </c>
      <c r="AS167" t="s">
        <v>194</v>
      </c>
      <c r="AT167">
        <v>1117.77</v>
      </c>
      <c r="AU167">
        <v>111.78</v>
      </c>
      <c r="AV167">
        <v>2023</v>
      </c>
      <c r="AW167">
        <v>16</v>
      </c>
      <c r="AX167">
        <v>670</v>
      </c>
      <c r="AY167">
        <v>0</v>
      </c>
      <c r="AZ167" t="s">
        <v>203</v>
      </c>
      <c r="BA167">
        <v>1232.44</v>
      </c>
      <c r="BB167" s="1">
        <v>44949</v>
      </c>
    </row>
    <row r="168" spans="1:54" x14ac:dyDescent="0.25">
      <c r="A168">
        <v>2023</v>
      </c>
      <c r="B168">
        <v>40</v>
      </c>
      <c r="C168" s="1">
        <v>44949</v>
      </c>
      <c r="D168">
        <v>2023</v>
      </c>
      <c r="E168">
        <v>2022</v>
      </c>
      <c r="F168">
        <v>720</v>
      </c>
      <c r="H168" t="s">
        <v>200</v>
      </c>
      <c r="I168">
        <v>130</v>
      </c>
      <c r="J168">
        <v>0</v>
      </c>
      <c r="K168" t="s">
        <v>128</v>
      </c>
      <c r="R168" t="s">
        <v>190</v>
      </c>
      <c r="S168" t="str">
        <f t="shared" si="15"/>
        <v>31</v>
      </c>
      <c r="T168" t="s">
        <v>122</v>
      </c>
      <c r="W168" t="s">
        <v>198</v>
      </c>
      <c r="Y168">
        <v>3344</v>
      </c>
      <c r="Z168" t="s">
        <v>192</v>
      </c>
      <c r="AB168" t="str">
        <f t="shared" si="17"/>
        <v>02616630022</v>
      </c>
      <c r="AC168" t="s">
        <v>116</v>
      </c>
      <c r="AD168" t="s">
        <v>193</v>
      </c>
      <c r="AF168">
        <v>2022</v>
      </c>
      <c r="AG168">
        <v>3952</v>
      </c>
      <c r="AH168" t="str">
        <f t="shared" si="16"/>
        <v>1</v>
      </c>
      <c r="AI168" t="str">
        <f>"5220234918"</f>
        <v>5220234918</v>
      </c>
      <c r="AJ168" s="1">
        <v>44914</v>
      </c>
      <c r="AL168" s="2">
        <v>2140.29</v>
      </c>
      <c r="AM168" t="str">
        <f>"8669990671"</f>
        <v>8669990671</v>
      </c>
      <c r="AN168">
        <v>2023</v>
      </c>
      <c r="AO168">
        <v>19</v>
      </c>
      <c r="AP168" s="2">
        <v>2140.29</v>
      </c>
      <c r="AQ168">
        <v>0</v>
      </c>
      <c r="AR168" s="2">
        <v>5211.68</v>
      </c>
      <c r="AS168" t="s">
        <v>194</v>
      </c>
      <c r="AT168">
        <v>1943.88</v>
      </c>
      <c r="AU168">
        <v>194.39</v>
      </c>
      <c r="AV168">
        <v>2023</v>
      </c>
      <c r="AW168">
        <v>16</v>
      </c>
      <c r="AX168">
        <v>670</v>
      </c>
      <c r="AY168">
        <v>0</v>
      </c>
      <c r="AZ168" t="s">
        <v>203</v>
      </c>
      <c r="BA168">
        <v>2140.29</v>
      </c>
      <c r="BB168" s="1">
        <v>44949</v>
      </c>
    </row>
    <row r="169" spans="1:54" x14ac:dyDescent="0.25">
      <c r="A169">
        <v>2023</v>
      </c>
      <c r="B169">
        <v>40</v>
      </c>
      <c r="C169" s="1">
        <v>44949</v>
      </c>
      <c r="D169">
        <v>2023</v>
      </c>
      <c r="E169">
        <v>2022</v>
      </c>
      <c r="F169">
        <v>720</v>
      </c>
      <c r="H169" t="s">
        <v>200</v>
      </c>
      <c r="I169">
        <v>130</v>
      </c>
      <c r="J169">
        <v>0</v>
      </c>
      <c r="K169" t="s">
        <v>128</v>
      </c>
      <c r="R169" t="s">
        <v>190</v>
      </c>
      <c r="S169" t="str">
        <f t="shared" si="15"/>
        <v>31</v>
      </c>
      <c r="T169" t="s">
        <v>122</v>
      </c>
      <c r="W169" t="s">
        <v>198</v>
      </c>
      <c r="Y169">
        <v>3344</v>
      </c>
      <c r="Z169" t="s">
        <v>192</v>
      </c>
      <c r="AB169" t="str">
        <f t="shared" si="17"/>
        <v>02616630022</v>
      </c>
      <c r="AC169" t="s">
        <v>116</v>
      </c>
      <c r="AD169" t="s">
        <v>193</v>
      </c>
      <c r="AF169">
        <v>2022</v>
      </c>
      <c r="AG169">
        <v>3953</v>
      </c>
      <c r="AH169" t="str">
        <f t="shared" si="16"/>
        <v>1</v>
      </c>
      <c r="AI169" t="str">
        <f>"5220235066"</f>
        <v>5220235066</v>
      </c>
      <c r="AJ169" s="1">
        <v>44914</v>
      </c>
      <c r="AL169">
        <v>29.56</v>
      </c>
      <c r="AM169" t="str">
        <f>"8669854580"</f>
        <v>8669854580</v>
      </c>
      <c r="AN169">
        <v>2023</v>
      </c>
      <c r="AO169">
        <v>19</v>
      </c>
      <c r="AP169">
        <v>29.56</v>
      </c>
      <c r="AQ169">
        <v>0</v>
      </c>
      <c r="AR169" s="2">
        <v>5211.68</v>
      </c>
      <c r="AS169" t="s">
        <v>194</v>
      </c>
      <c r="AT169">
        <v>26.84</v>
      </c>
      <c r="AU169">
        <v>2.68</v>
      </c>
      <c r="AV169">
        <v>2023</v>
      </c>
      <c r="AW169">
        <v>16</v>
      </c>
      <c r="AX169">
        <v>670</v>
      </c>
      <c r="AY169">
        <v>0</v>
      </c>
      <c r="AZ169" t="s">
        <v>203</v>
      </c>
      <c r="BA169">
        <v>29.56</v>
      </c>
      <c r="BB169" s="1">
        <v>44949</v>
      </c>
    </row>
    <row r="170" spans="1:54" x14ac:dyDescent="0.25">
      <c r="A170">
        <v>2023</v>
      </c>
      <c r="B170">
        <v>40</v>
      </c>
      <c r="C170" s="1">
        <v>44949</v>
      </c>
      <c r="D170">
        <v>2023</v>
      </c>
      <c r="E170">
        <v>2022</v>
      </c>
      <c r="F170">
        <v>720</v>
      </c>
      <c r="H170" t="s">
        <v>200</v>
      </c>
      <c r="I170">
        <v>130</v>
      </c>
      <c r="J170">
        <v>0</v>
      </c>
      <c r="K170" t="s">
        <v>128</v>
      </c>
      <c r="R170" t="s">
        <v>190</v>
      </c>
      <c r="S170" t="str">
        <f t="shared" si="15"/>
        <v>31</v>
      </c>
      <c r="T170" t="s">
        <v>122</v>
      </c>
      <c r="W170" t="s">
        <v>198</v>
      </c>
      <c r="Y170">
        <v>3344</v>
      </c>
      <c r="Z170" t="s">
        <v>192</v>
      </c>
      <c r="AB170" t="str">
        <f t="shared" si="17"/>
        <v>02616630022</v>
      </c>
      <c r="AC170" t="s">
        <v>116</v>
      </c>
      <c r="AD170" t="s">
        <v>193</v>
      </c>
      <c r="AF170">
        <v>2022</v>
      </c>
      <c r="AG170">
        <v>3955</v>
      </c>
      <c r="AH170" t="str">
        <f t="shared" si="16"/>
        <v>1</v>
      </c>
      <c r="AI170" t="str">
        <f>"5220235031"</f>
        <v>5220235031</v>
      </c>
      <c r="AJ170" s="1">
        <v>44914</v>
      </c>
      <c r="AL170">
        <v>979.37</v>
      </c>
      <c r="AM170" t="str">
        <f>"8670025972"</f>
        <v>8670025972</v>
      </c>
      <c r="AN170">
        <v>2023</v>
      </c>
      <c r="AO170">
        <v>19</v>
      </c>
      <c r="AP170">
        <v>979.37</v>
      </c>
      <c r="AQ170">
        <v>0</v>
      </c>
      <c r="AR170" s="2">
        <v>5211.68</v>
      </c>
      <c r="AS170" t="s">
        <v>194</v>
      </c>
      <c r="AT170">
        <v>889.07</v>
      </c>
      <c r="AU170">
        <v>88.91</v>
      </c>
      <c r="AV170">
        <v>2023</v>
      </c>
      <c r="AW170">
        <v>16</v>
      </c>
      <c r="AX170">
        <v>670</v>
      </c>
      <c r="AY170">
        <v>0</v>
      </c>
      <c r="AZ170" t="s">
        <v>203</v>
      </c>
      <c r="BA170">
        <v>979.37</v>
      </c>
      <c r="BB170" s="1">
        <v>44949</v>
      </c>
    </row>
    <row r="171" spans="1:54" x14ac:dyDescent="0.25">
      <c r="A171">
        <v>2023</v>
      </c>
      <c r="B171">
        <v>40</v>
      </c>
      <c r="C171" s="1">
        <v>44949</v>
      </c>
      <c r="D171">
        <v>2023</v>
      </c>
      <c r="E171">
        <v>2022</v>
      </c>
      <c r="F171">
        <v>720</v>
      </c>
      <c r="H171" t="s">
        <v>200</v>
      </c>
      <c r="I171">
        <v>130</v>
      </c>
      <c r="J171">
        <v>0</v>
      </c>
      <c r="K171" t="s">
        <v>128</v>
      </c>
      <c r="R171" t="s">
        <v>190</v>
      </c>
      <c r="S171" t="str">
        <f t="shared" si="15"/>
        <v>31</v>
      </c>
      <c r="T171" t="s">
        <v>122</v>
      </c>
      <c r="W171" t="s">
        <v>198</v>
      </c>
      <c r="Y171">
        <v>3344</v>
      </c>
      <c r="Z171" t="s">
        <v>192</v>
      </c>
      <c r="AB171" t="str">
        <f t="shared" si="17"/>
        <v>02616630022</v>
      </c>
      <c r="AC171" t="s">
        <v>116</v>
      </c>
      <c r="AD171" t="s">
        <v>193</v>
      </c>
      <c r="AF171">
        <v>2022</v>
      </c>
      <c r="AG171">
        <v>3956</v>
      </c>
      <c r="AH171" t="str">
        <f t="shared" si="16"/>
        <v>1</v>
      </c>
      <c r="AI171" t="str">
        <f>"5220235020"</f>
        <v>5220235020</v>
      </c>
      <c r="AJ171" s="1">
        <v>44914</v>
      </c>
      <c r="AL171">
        <v>396.16</v>
      </c>
      <c r="AM171" t="str">
        <f>"8670031280"</f>
        <v>8670031280</v>
      </c>
      <c r="AN171">
        <v>2023</v>
      </c>
      <c r="AO171">
        <v>19</v>
      </c>
      <c r="AP171">
        <v>396.16</v>
      </c>
      <c r="AQ171">
        <v>0</v>
      </c>
      <c r="AR171" s="2">
        <v>5211.68</v>
      </c>
      <c r="AS171" t="s">
        <v>194</v>
      </c>
      <c r="AT171">
        <v>359.86</v>
      </c>
      <c r="AU171">
        <v>35.99</v>
      </c>
      <c r="AV171">
        <v>2023</v>
      </c>
      <c r="AW171">
        <v>16</v>
      </c>
      <c r="AX171">
        <v>670</v>
      </c>
      <c r="AY171">
        <v>0</v>
      </c>
      <c r="AZ171" t="s">
        <v>203</v>
      </c>
      <c r="BA171">
        <v>396.16</v>
      </c>
      <c r="BB171" s="1">
        <v>44949</v>
      </c>
    </row>
    <row r="172" spans="1:54" x14ac:dyDescent="0.25">
      <c r="A172">
        <v>2023</v>
      </c>
      <c r="B172">
        <v>40</v>
      </c>
      <c r="C172" s="1">
        <v>44949</v>
      </c>
      <c r="D172">
        <v>2023</v>
      </c>
      <c r="E172">
        <v>2022</v>
      </c>
      <c r="F172">
        <v>720</v>
      </c>
      <c r="H172" t="s">
        <v>200</v>
      </c>
      <c r="I172">
        <v>130</v>
      </c>
      <c r="J172">
        <v>0</v>
      </c>
      <c r="K172" t="s">
        <v>128</v>
      </c>
      <c r="R172" t="s">
        <v>190</v>
      </c>
      <c r="S172" t="str">
        <f t="shared" si="15"/>
        <v>31</v>
      </c>
      <c r="T172" t="s">
        <v>122</v>
      </c>
      <c r="W172" t="s">
        <v>198</v>
      </c>
      <c r="Y172">
        <v>3344</v>
      </c>
      <c r="Z172" t="s">
        <v>192</v>
      </c>
      <c r="AB172" t="str">
        <f t="shared" si="17"/>
        <v>02616630022</v>
      </c>
      <c r="AC172" t="s">
        <v>116</v>
      </c>
      <c r="AD172" t="s">
        <v>193</v>
      </c>
      <c r="AF172">
        <v>2022</v>
      </c>
      <c r="AG172">
        <v>3957</v>
      </c>
      <c r="AH172" t="str">
        <f t="shared" si="16"/>
        <v>1</v>
      </c>
      <c r="AI172" t="str">
        <f>"5220234922"</f>
        <v>5220234922</v>
      </c>
      <c r="AJ172" s="1">
        <v>44914</v>
      </c>
      <c r="AL172" s="2">
        <v>1760.79</v>
      </c>
      <c r="AM172" t="str">
        <f>"8669976382"</f>
        <v>8669976382</v>
      </c>
      <c r="AN172">
        <v>2023</v>
      </c>
      <c r="AO172">
        <v>19</v>
      </c>
      <c r="AP172" s="2">
        <v>1760.79</v>
      </c>
      <c r="AQ172">
        <v>0</v>
      </c>
      <c r="AR172" s="2">
        <v>5211.68</v>
      </c>
      <c r="AS172" t="s">
        <v>194</v>
      </c>
      <c r="AT172">
        <v>1599.57</v>
      </c>
      <c r="AU172">
        <v>159.96</v>
      </c>
      <c r="AV172">
        <v>2023</v>
      </c>
      <c r="AW172">
        <v>16</v>
      </c>
      <c r="AX172">
        <v>670</v>
      </c>
      <c r="AY172">
        <v>0</v>
      </c>
      <c r="AZ172" t="s">
        <v>203</v>
      </c>
      <c r="BA172">
        <v>1760.79</v>
      </c>
      <c r="BB172" s="1">
        <v>44949</v>
      </c>
    </row>
    <row r="173" spans="1:54" x14ac:dyDescent="0.25">
      <c r="A173">
        <v>2023</v>
      </c>
      <c r="B173">
        <v>40</v>
      </c>
      <c r="C173" s="1">
        <v>44949</v>
      </c>
      <c r="D173">
        <v>2023</v>
      </c>
      <c r="E173">
        <v>2022</v>
      </c>
      <c r="F173">
        <v>720</v>
      </c>
      <c r="H173" t="s">
        <v>200</v>
      </c>
      <c r="I173">
        <v>130</v>
      </c>
      <c r="J173">
        <v>0</v>
      </c>
      <c r="K173" t="s">
        <v>128</v>
      </c>
      <c r="R173" t="s">
        <v>190</v>
      </c>
      <c r="S173" t="str">
        <f t="shared" si="15"/>
        <v>31</v>
      </c>
      <c r="T173" t="s">
        <v>122</v>
      </c>
      <c r="W173" t="s">
        <v>198</v>
      </c>
      <c r="Y173">
        <v>3344</v>
      </c>
      <c r="Z173" t="s">
        <v>192</v>
      </c>
      <c r="AB173" t="str">
        <f t="shared" si="17"/>
        <v>02616630022</v>
      </c>
      <c r="AC173" t="s">
        <v>116</v>
      </c>
      <c r="AD173" t="s">
        <v>193</v>
      </c>
      <c r="AF173">
        <v>2022</v>
      </c>
      <c r="AG173">
        <v>3959</v>
      </c>
      <c r="AH173" t="str">
        <f t="shared" si="16"/>
        <v>1</v>
      </c>
      <c r="AI173" t="str">
        <f>"5220235038"</f>
        <v>5220235038</v>
      </c>
      <c r="AJ173" s="1">
        <v>44914</v>
      </c>
      <c r="AL173">
        <v>28.86</v>
      </c>
      <c r="AM173" t="str">
        <f>"8669889287"</f>
        <v>8669889287</v>
      </c>
      <c r="AN173">
        <v>2023</v>
      </c>
      <c r="AO173">
        <v>19</v>
      </c>
      <c r="AP173">
        <v>28.86</v>
      </c>
      <c r="AQ173">
        <v>0</v>
      </c>
      <c r="AR173" s="2">
        <v>5211.68</v>
      </c>
      <c r="AS173" t="s">
        <v>194</v>
      </c>
      <c r="AT173">
        <v>26.2</v>
      </c>
      <c r="AU173">
        <v>2.62</v>
      </c>
      <c r="AV173">
        <v>2023</v>
      </c>
      <c r="AW173">
        <v>16</v>
      </c>
      <c r="AX173">
        <v>670</v>
      </c>
      <c r="AY173">
        <v>0</v>
      </c>
      <c r="AZ173" t="s">
        <v>203</v>
      </c>
      <c r="BA173">
        <v>28.86</v>
      </c>
      <c r="BB173" s="1">
        <v>44949</v>
      </c>
    </row>
    <row r="174" spans="1:54" x14ac:dyDescent="0.25">
      <c r="A174">
        <v>2023</v>
      </c>
      <c r="B174">
        <v>40</v>
      </c>
      <c r="C174" s="1">
        <v>44949</v>
      </c>
      <c r="D174">
        <v>2023</v>
      </c>
      <c r="E174">
        <v>2022</v>
      </c>
      <c r="F174">
        <v>720</v>
      </c>
      <c r="H174" t="s">
        <v>200</v>
      </c>
      <c r="I174">
        <v>130</v>
      </c>
      <c r="J174">
        <v>0</v>
      </c>
      <c r="K174" t="s">
        <v>128</v>
      </c>
      <c r="R174" t="s">
        <v>190</v>
      </c>
      <c r="S174" t="str">
        <f t="shared" si="15"/>
        <v>31</v>
      </c>
      <c r="T174" t="s">
        <v>122</v>
      </c>
      <c r="W174" t="s">
        <v>198</v>
      </c>
      <c r="Y174">
        <v>3344</v>
      </c>
      <c r="Z174" t="s">
        <v>192</v>
      </c>
      <c r="AB174" t="str">
        <f t="shared" si="17"/>
        <v>02616630022</v>
      </c>
      <c r="AC174" t="s">
        <v>116</v>
      </c>
      <c r="AD174" t="s">
        <v>193</v>
      </c>
      <c r="AF174">
        <v>2022</v>
      </c>
      <c r="AG174">
        <v>3960</v>
      </c>
      <c r="AH174" t="str">
        <f t="shared" si="16"/>
        <v>1</v>
      </c>
      <c r="AI174" t="str">
        <f>"5220235043"</f>
        <v>5220235043</v>
      </c>
      <c r="AJ174" s="1">
        <v>44914</v>
      </c>
      <c r="AL174" s="2">
        <v>1422.08</v>
      </c>
      <c r="AM174" t="str">
        <f>"8669868287"</f>
        <v>8669868287</v>
      </c>
      <c r="AN174">
        <v>2023</v>
      </c>
      <c r="AO174">
        <v>19</v>
      </c>
      <c r="AP174" s="2">
        <v>1422.08</v>
      </c>
      <c r="AQ174">
        <v>0</v>
      </c>
      <c r="AR174" s="2">
        <v>5211.68</v>
      </c>
      <c r="AS174" t="s">
        <v>177</v>
      </c>
      <c r="AT174">
        <v>1161.92</v>
      </c>
      <c r="AU174">
        <v>255.62</v>
      </c>
      <c r="AV174">
        <v>2023</v>
      </c>
      <c r="AW174">
        <v>16</v>
      </c>
      <c r="AX174">
        <v>670</v>
      </c>
      <c r="AY174">
        <v>0</v>
      </c>
      <c r="AZ174" t="s">
        <v>203</v>
      </c>
      <c r="BA174">
        <v>1422.08</v>
      </c>
      <c r="BB174" s="1">
        <v>44949</v>
      </c>
    </row>
    <row r="175" spans="1:54" x14ac:dyDescent="0.25">
      <c r="A175">
        <v>2023</v>
      </c>
      <c r="B175">
        <v>40</v>
      </c>
      <c r="C175" s="1">
        <v>44949</v>
      </c>
      <c r="D175">
        <v>2023</v>
      </c>
      <c r="E175">
        <v>2022</v>
      </c>
      <c r="F175">
        <v>720</v>
      </c>
      <c r="H175" t="s">
        <v>200</v>
      </c>
      <c r="I175">
        <v>130</v>
      </c>
      <c r="J175">
        <v>0</v>
      </c>
      <c r="K175" t="s">
        <v>128</v>
      </c>
      <c r="R175" t="s">
        <v>190</v>
      </c>
      <c r="S175" t="str">
        <f t="shared" si="15"/>
        <v>31</v>
      </c>
      <c r="T175" t="s">
        <v>122</v>
      </c>
      <c r="W175" t="s">
        <v>198</v>
      </c>
      <c r="Y175">
        <v>3344</v>
      </c>
      <c r="Z175" t="s">
        <v>192</v>
      </c>
      <c r="AB175" t="str">
        <f t="shared" si="17"/>
        <v>02616630022</v>
      </c>
      <c r="AC175" t="s">
        <v>116</v>
      </c>
      <c r="AD175" t="s">
        <v>193</v>
      </c>
      <c r="AF175">
        <v>2022</v>
      </c>
      <c r="AG175">
        <v>3961</v>
      </c>
      <c r="AH175" t="str">
        <f t="shared" si="16"/>
        <v>1</v>
      </c>
      <c r="AI175" t="str">
        <f>"5220234968"</f>
        <v>5220234968</v>
      </c>
      <c r="AJ175" s="1">
        <v>44914</v>
      </c>
      <c r="AL175" s="2">
        <v>5743.57</v>
      </c>
      <c r="AM175" t="str">
        <f>"8670092788"</f>
        <v>8670092788</v>
      </c>
      <c r="AN175">
        <v>2023</v>
      </c>
      <c r="AO175">
        <v>19</v>
      </c>
      <c r="AP175" s="2">
        <v>5743.57</v>
      </c>
      <c r="AQ175">
        <v>0</v>
      </c>
      <c r="AR175" s="2">
        <v>5211.68</v>
      </c>
      <c r="AS175" t="s">
        <v>194</v>
      </c>
      <c r="AT175">
        <v>5211.09</v>
      </c>
      <c r="AU175">
        <v>521.11</v>
      </c>
      <c r="AV175">
        <v>2023</v>
      </c>
      <c r="AW175">
        <v>16</v>
      </c>
      <c r="AX175">
        <v>670</v>
      </c>
      <c r="AY175">
        <v>0</v>
      </c>
      <c r="AZ175" t="s">
        <v>203</v>
      </c>
      <c r="BA175">
        <v>5743.57</v>
      </c>
      <c r="BB175" s="1">
        <v>44949</v>
      </c>
    </row>
    <row r="176" spans="1:54" x14ac:dyDescent="0.25">
      <c r="A176">
        <v>2023</v>
      </c>
      <c r="B176">
        <v>40</v>
      </c>
      <c r="C176" s="1">
        <v>44949</v>
      </c>
      <c r="D176">
        <v>2023</v>
      </c>
      <c r="E176">
        <v>2022</v>
      </c>
      <c r="F176">
        <v>720</v>
      </c>
      <c r="H176" t="s">
        <v>200</v>
      </c>
      <c r="I176">
        <v>130</v>
      </c>
      <c r="J176">
        <v>0</v>
      </c>
      <c r="K176" t="s">
        <v>128</v>
      </c>
      <c r="R176" t="s">
        <v>190</v>
      </c>
      <c r="S176" t="str">
        <f t="shared" si="15"/>
        <v>31</v>
      </c>
      <c r="T176" t="s">
        <v>122</v>
      </c>
      <c r="W176" t="s">
        <v>198</v>
      </c>
      <c r="Y176">
        <v>3344</v>
      </c>
      <c r="Z176" t="s">
        <v>192</v>
      </c>
      <c r="AB176" t="str">
        <f t="shared" si="17"/>
        <v>02616630022</v>
      </c>
      <c r="AC176" t="s">
        <v>116</v>
      </c>
      <c r="AD176" t="s">
        <v>193</v>
      </c>
      <c r="AF176">
        <v>2022</v>
      </c>
      <c r="AG176">
        <v>3962</v>
      </c>
      <c r="AH176" t="str">
        <f t="shared" si="16"/>
        <v>1</v>
      </c>
      <c r="AI176" t="str">
        <f>"5220234938"</f>
        <v>5220234938</v>
      </c>
      <c r="AJ176" s="1">
        <v>44914</v>
      </c>
      <c r="AL176" s="2">
        <v>1797.68</v>
      </c>
      <c r="AM176" t="str">
        <f>"8670012778"</f>
        <v>8670012778</v>
      </c>
      <c r="AN176">
        <v>2023</v>
      </c>
      <c r="AO176">
        <v>19</v>
      </c>
      <c r="AP176" s="2">
        <v>1797.68</v>
      </c>
      <c r="AQ176">
        <v>0</v>
      </c>
      <c r="AR176" s="2">
        <v>5211.68</v>
      </c>
      <c r="AS176" t="s">
        <v>194</v>
      </c>
      <c r="AT176">
        <v>1630.48</v>
      </c>
      <c r="AU176">
        <v>163.05000000000001</v>
      </c>
      <c r="AV176">
        <v>2023</v>
      </c>
      <c r="AW176">
        <v>16</v>
      </c>
      <c r="AX176">
        <v>670</v>
      </c>
      <c r="AY176">
        <v>0</v>
      </c>
      <c r="AZ176" t="s">
        <v>203</v>
      </c>
      <c r="BA176">
        <v>1797.68</v>
      </c>
      <c r="BB176" s="1">
        <v>44949</v>
      </c>
    </row>
    <row r="177" spans="1:54" x14ac:dyDescent="0.25">
      <c r="A177">
        <v>2023</v>
      </c>
      <c r="B177">
        <v>40</v>
      </c>
      <c r="C177" s="1">
        <v>44949</v>
      </c>
      <c r="D177">
        <v>2023</v>
      </c>
      <c r="E177">
        <v>2022</v>
      </c>
      <c r="F177">
        <v>720</v>
      </c>
      <c r="H177" t="s">
        <v>200</v>
      </c>
      <c r="I177">
        <v>130</v>
      </c>
      <c r="J177">
        <v>0</v>
      </c>
      <c r="K177" t="s">
        <v>128</v>
      </c>
      <c r="R177" t="s">
        <v>190</v>
      </c>
      <c r="S177" t="str">
        <f t="shared" si="15"/>
        <v>31</v>
      </c>
      <c r="T177" t="s">
        <v>122</v>
      </c>
      <c r="W177" t="s">
        <v>198</v>
      </c>
      <c r="Y177">
        <v>3344</v>
      </c>
      <c r="Z177" t="s">
        <v>192</v>
      </c>
      <c r="AB177" t="str">
        <f t="shared" si="17"/>
        <v>02616630022</v>
      </c>
      <c r="AC177" t="s">
        <v>116</v>
      </c>
      <c r="AD177" t="s">
        <v>193</v>
      </c>
      <c r="AF177">
        <v>2022</v>
      </c>
      <c r="AG177">
        <v>3963</v>
      </c>
      <c r="AH177" t="str">
        <f t="shared" si="16"/>
        <v>1</v>
      </c>
      <c r="AI177" t="str">
        <f>"5220235051"</f>
        <v>5220235051</v>
      </c>
      <c r="AJ177" s="1">
        <v>44914</v>
      </c>
      <c r="AL177">
        <v>155.69</v>
      </c>
      <c r="AM177" t="str">
        <f>"8669853576"</f>
        <v>8669853576</v>
      </c>
      <c r="AN177">
        <v>2023</v>
      </c>
      <c r="AO177">
        <v>19</v>
      </c>
      <c r="AP177">
        <v>155.69</v>
      </c>
      <c r="AQ177">
        <v>0</v>
      </c>
      <c r="AR177" s="2">
        <v>5211.68</v>
      </c>
      <c r="AS177" t="s">
        <v>194</v>
      </c>
      <c r="AT177">
        <v>141.33000000000001</v>
      </c>
      <c r="AU177">
        <v>14.13</v>
      </c>
      <c r="AV177">
        <v>2023</v>
      </c>
      <c r="AW177">
        <v>16</v>
      </c>
      <c r="AX177">
        <v>670</v>
      </c>
      <c r="AY177">
        <v>0</v>
      </c>
      <c r="AZ177" t="s">
        <v>203</v>
      </c>
      <c r="BA177">
        <v>155.69</v>
      </c>
      <c r="BB177" s="1">
        <v>44949</v>
      </c>
    </row>
    <row r="178" spans="1:54" x14ac:dyDescent="0.25">
      <c r="A178">
        <v>2023</v>
      </c>
      <c r="B178">
        <v>40</v>
      </c>
      <c r="C178" s="1">
        <v>44949</v>
      </c>
      <c r="D178">
        <v>2023</v>
      </c>
      <c r="E178">
        <v>2022</v>
      </c>
      <c r="F178">
        <v>720</v>
      </c>
      <c r="H178" t="s">
        <v>200</v>
      </c>
      <c r="I178">
        <v>130</v>
      </c>
      <c r="J178">
        <v>0</v>
      </c>
      <c r="K178" t="s">
        <v>128</v>
      </c>
      <c r="R178" t="s">
        <v>190</v>
      </c>
      <c r="S178" t="str">
        <f t="shared" si="15"/>
        <v>31</v>
      </c>
      <c r="T178" t="s">
        <v>122</v>
      </c>
      <c r="W178" t="s">
        <v>198</v>
      </c>
      <c r="Y178">
        <v>3344</v>
      </c>
      <c r="Z178" t="s">
        <v>192</v>
      </c>
      <c r="AB178" t="str">
        <f t="shared" si="17"/>
        <v>02616630022</v>
      </c>
      <c r="AC178" t="s">
        <v>116</v>
      </c>
      <c r="AD178" t="s">
        <v>193</v>
      </c>
      <c r="AF178">
        <v>2022</v>
      </c>
      <c r="AG178">
        <v>3964</v>
      </c>
      <c r="AH178" t="str">
        <f t="shared" si="16"/>
        <v>1</v>
      </c>
      <c r="AI178" t="str">
        <f>"5220234935"</f>
        <v>5220234935</v>
      </c>
      <c r="AJ178" s="1">
        <v>44914</v>
      </c>
      <c r="AL178" s="2">
        <v>7956.02</v>
      </c>
      <c r="AM178" t="str">
        <f>"8670088186"</f>
        <v>8670088186</v>
      </c>
      <c r="AN178">
        <v>2023</v>
      </c>
      <c r="AO178">
        <v>19</v>
      </c>
      <c r="AP178" s="2">
        <v>7956.02</v>
      </c>
      <c r="AQ178">
        <v>0</v>
      </c>
      <c r="AR178" s="2">
        <v>5211.68</v>
      </c>
      <c r="AS178" t="s">
        <v>194</v>
      </c>
      <c r="AT178">
        <v>7224.38</v>
      </c>
      <c r="AU178">
        <v>722.44</v>
      </c>
      <c r="AV178">
        <v>2023</v>
      </c>
      <c r="AW178">
        <v>16</v>
      </c>
      <c r="AX178">
        <v>670</v>
      </c>
      <c r="AY178">
        <v>0</v>
      </c>
      <c r="AZ178" t="s">
        <v>203</v>
      </c>
      <c r="BA178">
        <v>7956.02</v>
      </c>
      <c r="BB178" s="1">
        <v>44949</v>
      </c>
    </row>
    <row r="179" spans="1:54" x14ac:dyDescent="0.25">
      <c r="A179">
        <v>2023</v>
      </c>
      <c r="B179">
        <v>40</v>
      </c>
      <c r="C179" s="1">
        <v>44949</v>
      </c>
      <c r="D179">
        <v>2023</v>
      </c>
      <c r="E179">
        <v>2022</v>
      </c>
      <c r="F179">
        <v>720</v>
      </c>
      <c r="H179" t="s">
        <v>200</v>
      </c>
      <c r="I179">
        <v>130</v>
      </c>
      <c r="J179">
        <v>0</v>
      </c>
      <c r="K179" t="s">
        <v>128</v>
      </c>
      <c r="R179" t="s">
        <v>190</v>
      </c>
      <c r="S179" t="str">
        <f t="shared" si="15"/>
        <v>31</v>
      </c>
      <c r="T179" t="s">
        <v>122</v>
      </c>
      <c r="W179" t="s">
        <v>198</v>
      </c>
      <c r="Y179">
        <v>3344</v>
      </c>
      <c r="Z179" t="s">
        <v>192</v>
      </c>
      <c r="AB179" t="str">
        <f t="shared" si="17"/>
        <v>02616630022</v>
      </c>
      <c r="AC179" t="s">
        <v>116</v>
      </c>
      <c r="AD179" t="s">
        <v>193</v>
      </c>
      <c r="AF179">
        <v>2022</v>
      </c>
      <c r="AG179">
        <v>3965</v>
      </c>
      <c r="AH179" t="str">
        <f t="shared" si="16"/>
        <v>1</v>
      </c>
      <c r="AI179" t="str">
        <f>"5220234926"</f>
        <v>5220234926</v>
      </c>
      <c r="AJ179" s="1">
        <v>44914</v>
      </c>
      <c r="AL179" s="2">
        <v>2229.6799999999998</v>
      </c>
      <c r="AM179" t="str">
        <f>"8670082777"</f>
        <v>8670082777</v>
      </c>
      <c r="AN179">
        <v>2023</v>
      </c>
      <c r="AO179">
        <v>19</v>
      </c>
      <c r="AP179" s="2">
        <v>2229.6799999999998</v>
      </c>
      <c r="AQ179">
        <v>0</v>
      </c>
      <c r="AR179" s="2">
        <v>5211.68</v>
      </c>
      <c r="AS179" t="s">
        <v>194</v>
      </c>
      <c r="AT179">
        <v>2024.2</v>
      </c>
      <c r="AU179">
        <v>202.42</v>
      </c>
      <c r="AV179">
        <v>2023</v>
      </c>
      <c r="AW179">
        <v>16</v>
      </c>
      <c r="AX179">
        <v>670</v>
      </c>
      <c r="AY179">
        <v>0</v>
      </c>
      <c r="AZ179" t="s">
        <v>203</v>
      </c>
      <c r="BA179">
        <v>2229.6799999999998</v>
      </c>
      <c r="BB179" s="1">
        <v>44949</v>
      </c>
    </row>
    <row r="180" spans="1:54" x14ac:dyDescent="0.25">
      <c r="A180">
        <v>2023</v>
      </c>
      <c r="B180">
        <v>40</v>
      </c>
      <c r="C180" s="1">
        <v>44949</v>
      </c>
      <c r="D180">
        <v>2023</v>
      </c>
      <c r="E180">
        <v>2022</v>
      </c>
      <c r="F180">
        <v>720</v>
      </c>
      <c r="H180" t="s">
        <v>200</v>
      </c>
      <c r="I180">
        <v>130</v>
      </c>
      <c r="J180">
        <v>0</v>
      </c>
      <c r="K180" t="s">
        <v>128</v>
      </c>
      <c r="R180" t="s">
        <v>190</v>
      </c>
      <c r="S180" t="str">
        <f t="shared" si="15"/>
        <v>31</v>
      </c>
      <c r="T180" t="s">
        <v>122</v>
      </c>
      <c r="W180" t="s">
        <v>198</v>
      </c>
      <c r="Y180">
        <v>3344</v>
      </c>
      <c r="Z180" t="s">
        <v>192</v>
      </c>
      <c r="AB180" t="str">
        <f t="shared" si="17"/>
        <v>02616630022</v>
      </c>
      <c r="AC180" t="s">
        <v>116</v>
      </c>
      <c r="AD180" t="s">
        <v>193</v>
      </c>
      <c r="AF180">
        <v>2022</v>
      </c>
      <c r="AG180">
        <v>3967</v>
      </c>
      <c r="AH180" t="str">
        <f t="shared" si="16"/>
        <v>1</v>
      </c>
      <c r="AI180" t="str">
        <f>"5220234931"</f>
        <v>5220234931</v>
      </c>
      <c r="AJ180" s="1">
        <v>44914</v>
      </c>
      <c r="AL180" s="2">
        <v>1397.16</v>
      </c>
      <c r="AM180" t="str">
        <f>"8669967786"</f>
        <v>8669967786</v>
      </c>
      <c r="AN180">
        <v>2023</v>
      </c>
      <c r="AO180">
        <v>19</v>
      </c>
      <c r="AP180" s="2">
        <v>1397.16</v>
      </c>
      <c r="AQ180">
        <v>0</v>
      </c>
      <c r="AR180" s="2">
        <v>5211.68</v>
      </c>
      <c r="AS180" t="s">
        <v>194</v>
      </c>
      <c r="AT180">
        <v>1267.01</v>
      </c>
      <c r="AU180">
        <v>126.7</v>
      </c>
      <c r="AV180">
        <v>2023</v>
      </c>
      <c r="AW180">
        <v>16</v>
      </c>
      <c r="AX180">
        <v>670</v>
      </c>
      <c r="AY180">
        <v>0</v>
      </c>
      <c r="AZ180" t="s">
        <v>203</v>
      </c>
      <c r="BA180">
        <v>1397.16</v>
      </c>
      <c r="BB180" s="1">
        <v>44949</v>
      </c>
    </row>
    <row r="181" spans="1:54" x14ac:dyDescent="0.25">
      <c r="A181">
        <v>2023</v>
      </c>
      <c r="B181">
        <v>40</v>
      </c>
      <c r="C181" s="1">
        <v>44949</v>
      </c>
      <c r="D181">
        <v>2023</v>
      </c>
      <c r="E181">
        <v>2022</v>
      </c>
      <c r="F181">
        <v>720</v>
      </c>
      <c r="H181" t="s">
        <v>200</v>
      </c>
      <c r="I181">
        <v>130</v>
      </c>
      <c r="J181">
        <v>0</v>
      </c>
      <c r="K181" t="s">
        <v>128</v>
      </c>
      <c r="R181" t="s">
        <v>190</v>
      </c>
      <c r="S181" t="str">
        <f t="shared" si="15"/>
        <v>31</v>
      </c>
      <c r="T181" t="s">
        <v>122</v>
      </c>
      <c r="W181" t="s">
        <v>198</v>
      </c>
      <c r="Y181">
        <v>3344</v>
      </c>
      <c r="Z181" t="s">
        <v>192</v>
      </c>
      <c r="AB181" t="str">
        <f t="shared" si="17"/>
        <v>02616630022</v>
      </c>
      <c r="AC181" t="s">
        <v>116</v>
      </c>
      <c r="AD181" t="s">
        <v>193</v>
      </c>
      <c r="AF181">
        <v>2022</v>
      </c>
      <c r="AG181">
        <v>3968</v>
      </c>
      <c r="AH181" t="str">
        <f t="shared" si="16"/>
        <v>1</v>
      </c>
      <c r="AI181" t="str">
        <f>"5220234929"</f>
        <v>5220234929</v>
      </c>
      <c r="AJ181" s="1">
        <v>44914</v>
      </c>
      <c r="AL181">
        <v>690.68</v>
      </c>
      <c r="AM181" t="str">
        <f>"8670000291"</f>
        <v>8670000291</v>
      </c>
      <c r="AN181">
        <v>2023</v>
      </c>
      <c r="AO181">
        <v>19</v>
      </c>
      <c r="AP181">
        <v>690.68</v>
      </c>
      <c r="AQ181">
        <v>0</v>
      </c>
      <c r="AR181" s="2">
        <v>5211.68</v>
      </c>
      <c r="AS181" t="s">
        <v>194</v>
      </c>
      <c r="AT181">
        <v>626.69000000000005</v>
      </c>
      <c r="AU181">
        <v>62.67</v>
      </c>
      <c r="AV181">
        <v>2023</v>
      </c>
      <c r="AW181">
        <v>16</v>
      </c>
      <c r="AX181">
        <v>670</v>
      </c>
      <c r="AY181">
        <v>0</v>
      </c>
      <c r="AZ181" t="s">
        <v>203</v>
      </c>
      <c r="BA181">
        <v>690.68</v>
      </c>
      <c r="BB181" s="1">
        <v>44949</v>
      </c>
    </row>
    <row r="182" spans="1:54" x14ac:dyDescent="0.25">
      <c r="A182">
        <v>2023</v>
      </c>
      <c r="B182">
        <v>40</v>
      </c>
      <c r="C182" s="1">
        <v>44949</v>
      </c>
      <c r="D182">
        <v>2023</v>
      </c>
      <c r="E182">
        <v>2022</v>
      </c>
      <c r="F182">
        <v>720</v>
      </c>
      <c r="H182" t="s">
        <v>200</v>
      </c>
      <c r="I182">
        <v>130</v>
      </c>
      <c r="J182">
        <v>0</v>
      </c>
      <c r="K182" t="s">
        <v>128</v>
      </c>
      <c r="R182" t="s">
        <v>190</v>
      </c>
      <c r="S182" t="str">
        <f t="shared" si="15"/>
        <v>31</v>
      </c>
      <c r="T182" t="s">
        <v>122</v>
      </c>
      <c r="W182" t="s">
        <v>198</v>
      </c>
      <c r="Y182">
        <v>3344</v>
      </c>
      <c r="Z182" t="s">
        <v>192</v>
      </c>
      <c r="AB182" t="str">
        <f t="shared" si="17"/>
        <v>02616630022</v>
      </c>
      <c r="AC182" t="s">
        <v>116</v>
      </c>
      <c r="AD182" t="s">
        <v>193</v>
      </c>
      <c r="AF182">
        <v>2022</v>
      </c>
      <c r="AG182">
        <v>3969</v>
      </c>
      <c r="AH182" t="str">
        <f t="shared" si="16"/>
        <v>1</v>
      </c>
      <c r="AI182" t="str">
        <f>"5220234976"</f>
        <v>5220234976</v>
      </c>
      <c r="AJ182" s="1">
        <v>44914</v>
      </c>
      <c r="AL182">
        <v>29.56</v>
      </c>
      <c r="AM182" t="str">
        <f>"8670005091"</f>
        <v>8670005091</v>
      </c>
      <c r="AN182">
        <v>2023</v>
      </c>
      <c r="AO182">
        <v>19</v>
      </c>
      <c r="AP182">
        <v>29.56</v>
      </c>
      <c r="AQ182">
        <v>0</v>
      </c>
      <c r="AR182" s="2">
        <v>5211.68</v>
      </c>
      <c r="AS182" t="s">
        <v>194</v>
      </c>
      <c r="AT182">
        <v>26.84</v>
      </c>
      <c r="AU182">
        <v>2.68</v>
      </c>
      <c r="AV182">
        <v>2023</v>
      </c>
      <c r="AW182">
        <v>16</v>
      </c>
      <c r="AX182">
        <v>670</v>
      </c>
      <c r="AY182">
        <v>0</v>
      </c>
      <c r="AZ182" t="s">
        <v>203</v>
      </c>
      <c r="BA182">
        <v>29.56</v>
      </c>
      <c r="BB182" s="1">
        <v>44949</v>
      </c>
    </row>
    <row r="183" spans="1:54" x14ac:dyDescent="0.25">
      <c r="A183">
        <v>2023</v>
      </c>
      <c r="B183">
        <v>40</v>
      </c>
      <c r="C183" s="1">
        <v>44949</v>
      </c>
      <c r="D183">
        <v>2023</v>
      </c>
      <c r="E183">
        <v>2022</v>
      </c>
      <c r="F183">
        <v>720</v>
      </c>
      <c r="H183" t="s">
        <v>200</v>
      </c>
      <c r="I183">
        <v>130</v>
      </c>
      <c r="J183">
        <v>0</v>
      </c>
      <c r="K183" t="s">
        <v>128</v>
      </c>
      <c r="R183" t="s">
        <v>190</v>
      </c>
      <c r="S183" t="str">
        <f t="shared" si="15"/>
        <v>31</v>
      </c>
      <c r="T183" t="s">
        <v>122</v>
      </c>
      <c r="W183" t="s">
        <v>198</v>
      </c>
      <c r="Y183">
        <v>3344</v>
      </c>
      <c r="Z183" t="s">
        <v>192</v>
      </c>
      <c r="AB183" t="str">
        <f t="shared" si="17"/>
        <v>02616630022</v>
      </c>
      <c r="AC183" t="s">
        <v>116</v>
      </c>
      <c r="AD183" t="s">
        <v>193</v>
      </c>
      <c r="AF183">
        <v>2022</v>
      </c>
      <c r="AG183">
        <v>3970</v>
      </c>
      <c r="AH183" t="str">
        <f t="shared" si="16"/>
        <v>1</v>
      </c>
      <c r="AI183" t="str">
        <f>"5220234954"</f>
        <v>5220234954</v>
      </c>
      <c r="AJ183" s="1">
        <v>44914</v>
      </c>
      <c r="AL183" s="2">
        <v>1345.33</v>
      </c>
      <c r="AM183" t="str">
        <f>"8670093591"</f>
        <v>8670093591</v>
      </c>
      <c r="AN183">
        <v>2023</v>
      </c>
      <c r="AO183">
        <v>19</v>
      </c>
      <c r="AP183" s="2">
        <v>1345.33</v>
      </c>
      <c r="AQ183">
        <v>0</v>
      </c>
      <c r="AR183" s="2">
        <v>5211.68</v>
      </c>
      <c r="AS183" t="s">
        <v>177</v>
      </c>
      <c r="AT183">
        <v>1100.0999999999999</v>
      </c>
      <c r="AU183">
        <v>242.02</v>
      </c>
      <c r="AV183">
        <v>2023</v>
      </c>
      <c r="AW183">
        <v>16</v>
      </c>
      <c r="AX183">
        <v>670</v>
      </c>
      <c r="AY183">
        <v>0</v>
      </c>
      <c r="AZ183" t="s">
        <v>203</v>
      </c>
      <c r="BA183">
        <v>1345.33</v>
      </c>
      <c r="BB183" s="1">
        <v>44949</v>
      </c>
    </row>
    <row r="184" spans="1:54" x14ac:dyDescent="0.25">
      <c r="A184">
        <v>2023</v>
      </c>
      <c r="B184">
        <v>40</v>
      </c>
      <c r="C184" s="1">
        <v>44949</v>
      </c>
      <c r="D184">
        <v>2023</v>
      </c>
      <c r="E184">
        <v>2022</v>
      </c>
      <c r="F184">
        <v>720</v>
      </c>
      <c r="H184" t="s">
        <v>200</v>
      </c>
      <c r="I184">
        <v>130</v>
      </c>
      <c r="J184">
        <v>0</v>
      </c>
      <c r="K184" t="s">
        <v>128</v>
      </c>
      <c r="R184" t="s">
        <v>190</v>
      </c>
      <c r="S184" t="str">
        <f t="shared" si="15"/>
        <v>31</v>
      </c>
      <c r="T184" t="s">
        <v>122</v>
      </c>
      <c r="W184" t="s">
        <v>198</v>
      </c>
      <c r="Y184">
        <v>3344</v>
      </c>
      <c r="Z184" t="s">
        <v>192</v>
      </c>
      <c r="AB184" t="str">
        <f t="shared" si="17"/>
        <v>02616630022</v>
      </c>
      <c r="AC184" t="s">
        <v>116</v>
      </c>
      <c r="AD184" t="s">
        <v>193</v>
      </c>
      <c r="AF184">
        <v>2022</v>
      </c>
      <c r="AG184">
        <v>3972</v>
      </c>
      <c r="AH184" t="str">
        <f t="shared" si="16"/>
        <v>1</v>
      </c>
      <c r="AI184" t="str">
        <f>"5220234932"</f>
        <v>5220234932</v>
      </c>
      <c r="AJ184" s="1">
        <v>44914</v>
      </c>
      <c r="AL184" s="2">
        <v>2572.56</v>
      </c>
      <c r="AM184" t="str">
        <f>"8670038292"</f>
        <v>8670038292</v>
      </c>
      <c r="AN184">
        <v>2023</v>
      </c>
      <c r="AO184">
        <v>19</v>
      </c>
      <c r="AP184" s="2">
        <v>2572.56</v>
      </c>
      <c r="AQ184">
        <v>0</v>
      </c>
      <c r="AR184" s="2">
        <v>5211.68</v>
      </c>
      <c r="AS184" t="s">
        <v>194</v>
      </c>
      <c r="AT184">
        <v>2335.2600000000002</v>
      </c>
      <c r="AU184">
        <v>233.53</v>
      </c>
      <c r="AV184">
        <v>2023</v>
      </c>
      <c r="AW184">
        <v>16</v>
      </c>
      <c r="AX184">
        <v>670</v>
      </c>
      <c r="AY184">
        <v>0</v>
      </c>
      <c r="AZ184" t="s">
        <v>203</v>
      </c>
      <c r="BA184">
        <v>2572.56</v>
      </c>
      <c r="BB184" s="1">
        <v>44949</v>
      </c>
    </row>
    <row r="185" spans="1:54" x14ac:dyDescent="0.25">
      <c r="A185">
        <v>2023</v>
      </c>
      <c r="B185">
        <v>40</v>
      </c>
      <c r="C185" s="1">
        <v>44949</v>
      </c>
      <c r="D185">
        <v>2023</v>
      </c>
      <c r="E185">
        <v>2022</v>
      </c>
      <c r="F185">
        <v>720</v>
      </c>
      <c r="H185" t="s">
        <v>200</v>
      </c>
      <c r="I185">
        <v>130</v>
      </c>
      <c r="J185">
        <v>0</v>
      </c>
      <c r="K185" t="s">
        <v>128</v>
      </c>
      <c r="R185" t="s">
        <v>190</v>
      </c>
      <c r="S185" t="str">
        <f t="shared" si="15"/>
        <v>31</v>
      </c>
      <c r="T185" t="s">
        <v>122</v>
      </c>
      <c r="W185" t="s">
        <v>198</v>
      </c>
      <c r="Y185">
        <v>3344</v>
      </c>
      <c r="Z185" t="s">
        <v>192</v>
      </c>
      <c r="AB185" t="str">
        <f t="shared" si="17"/>
        <v>02616630022</v>
      </c>
      <c r="AC185" t="s">
        <v>116</v>
      </c>
      <c r="AD185" t="s">
        <v>193</v>
      </c>
      <c r="AF185">
        <v>2022</v>
      </c>
      <c r="AG185">
        <v>3973</v>
      </c>
      <c r="AH185" t="str">
        <f t="shared" si="16"/>
        <v>1</v>
      </c>
      <c r="AI185" t="str">
        <f>"5220234934"</f>
        <v>5220234934</v>
      </c>
      <c r="AJ185" s="1">
        <v>44914</v>
      </c>
      <c r="AL185" s="2">
        <v>1958.96</v>
      </c>
      <c r="AM185" t="str">
        <f>"8670075788"</f>
        <v>8670075788</v>
      </c>
      <c r="AN185">
        <v>2023</v>
      </c>
      <c r="AO185">
        <v>19</v>
      </c>
      <c r="AP185" s="2">
        <v>1958.96</v>
      </c>
      <c r="AQ185">
        <v>0</v>
      </c>
      <c r="AR185" s="2">
        <v>5211.68</v>
      </c>
      <c r="AS185" t="s">
        <v>194</v>
      </c>
      <c r="AT185">
        <v>1776.54</v>
      </c>
      <c r="AU185">
        <v>177.65</v>
      </c>
      <c r="AV185">
        <v>2023</v>
      </c>
      <c r="AW185">
        <v>16</v>
      </c>
      <c r="AX185">
        <v>670</v>
      </c>
      <c r="AY185">
        <v>0</v>
      </c>
      <c r="AZ185" t="s">
        <v>203</v>
      </c>
      <c r="BA185">
        <v>1958.96</v>
      </c>
      <c r="BB185" s="1">
        <v>44949</v>
      </c>
    </row>
    <row r="186" spans="1:54" x14ac:dyDescent="0.25">
      <c r="A186">
        <v>2023</v>
      </c>
      <c r="B186">
        <v>40</v>
      </c>
      <c r="C186" s="1">
        <v>44949</v>
      </c>
      <c r="D186">
        <v>2023</v>
      </c>
      <c r="E186">
        <v>2022</v>
      </c>
      <c r="F186">
        <v>720</v>
      </c>
      <c r="H186" t="s">
        <v>200</v>
      </c>
      <c r="I186">
        <v>130</v>
      </c>
      <c r="J186">
        <v>0</v>
      </c>
      <c r="K186" t="s">
        <v>128</v>
      </c>
      <c r="R186" t="s">
        <v>190</v>
      </c>
      <c r="S186" t="str">
        <f t="shared" si="15"/>
        <v>31</v>
      </c>
      <c r="T186" t="s">
        <v>122</v>
      </c>
      <c r="W186" t="s">
        <v>198</v>
      </c>
      <c r="Y186">
        <v>3344</v>
      </c>
      <c r="Z186" t="s">
        <v>192</v>
      </c>
      <c r="AB186" t="str">
        <f t="shared" si="17"/>
        <v>02616630022</v>
      </c>
      <c r="AC186" t="s">
        <v>116</v>
      </c>
      <c r="AD186" t="s">
        <v>193</v>
      </c>
      <c r="AF186">
        <v>2022</v>
      </c>
      <c r="AG186">
        <v>3974</v>
      </c>
      <c r="AH186" t="str">
        <f t="shared" si="16"/>
        <v>1</v>
      </c>
      <c r="AI186" t="str">
        <f>"5220234941"</f>
        <v>5220234941</v>
      </c>
      <c r="AJ186" s="1">
        <v>44914</v>
      </c>
      <c r="AL186">
        <v>9.57</v>
      </c>
      <c r="AM186" t="str">
        <f>"8670079195"</f>
        <v>8670079195</v>
      </c>
      <c r="AN186">
        <v>2023</v>
      </c>
      <c r="AO186">
        <v>19</v>
      </c>
      <c r="AP186">
        <v>9.57</v>
      </c>
      <c r="AQ186">
        <v>0</v>
      </c>
      <c r="AR186" s="2">
        <v>5211.68</v>
      </c>
      <c r="AS186" t="s">
        <v>194</v>
      </c>
      <c r="AT186">
        <v>8.68</v>
      </c>
      <c r="AU186">
        <v>0.87</v>
      </c>
      <c r="AV186">
        <v>2023</v>
      </c>
      <c r="AW186">
        <v>16</v>
      </c>
      <c r="AX186">
        <v>670</v>
      </c>
      <c r="AY186">
        <v>0</v>
      </c>
      <c r="AZ186" t="s">
        <v>203</v>
      </c>
      <c r="BA186">
        <v>9.57</v>
      </c>
      <c r="BB186" s="1">
        <v>44949</v>
      </c>
    </row>
    <row r="187" spans="1:54" x14ac:dyDescent="0.25">
      <c r="A187">
        <v>2023</v>
      </c>
      <c r="B187">
        <v>40</v>
      </c>
      <c r="C187" s="1">
        <v>44949</v>
      </c>
      <c r="D187">
        <v>2023</v>
      </c>
      <c r="E187">
        <v>2022</v>
      </c>
      <c r="F187">
        <v>720</v>
      </c>
      <c r="H187" t="s">
        <v>200</v>
      </c>
      <c r="I187">
        <v>130</v>
      </c>
      <c r="J187">
        <v>0</v>
      </c>
      <c r="K187" t="s">
        <v>128</v>
      </c>
      <c r="R187" t="s">
        <v>190</v>
      </c>
      <c r="S187" t="str">
        <f t="shared" si="15"/>
        <v>31</v>
      </c>
      <c r="T187" t="s">
        <v>122</v>
      </c>
      <c r="W187" t="s">
        <v>198</v>
      </c>
      <c r="Y187">
        <v>3344</v>
      </c>
      <c r="Z187" t="s">
        <v>192</v>
      </c>
      <c r="AB187" t="str">
        <f t="shared" si="17"/>
        <v>02616630022</v>
      </c>
      <c r="AC187" t="s">
        <v>116</v>
      </c>
      <c r="AD187" t="s">
        <v>193</v>
      </c>
      <c r="AF187">
        <v>2022</v>
      </c>
      <c r="AG187">
        <v>3975</v>
      </c>
      <c r="AH187" t="str">
        <f t="shared" si="16"/>
        <v>1</v>
      </c>
      <c r="AI187" t="str">
        <f>"5220235036"</f>
        <v>5220235036</v>
      </c>
      <c r="AJ187" s="1">
        <v>44914</v>
      </c>
      <c r="AL187">
        <v>203.54</v>
      </c>
      <c r="AM187" t="str">
        <f>"8669903589"</f>
        <v>8669903589</v>
      </c>
      <c r="AN187">
        <v>2023</v>
      </c>
      <c r="AO187">
        <v>19</v>
      </c>
      <c r="AP187">
        <v>203.54</v>
      </c>
      <c r="AQ187">
        <v>0</v>
      </c>
      <c r="AR187" s="2">
        <v>5211.68</v>
      </c>
      <c r="AS187" t="s">
        <v>177</v>
      </c>
      <c r="AT187">
        <v>166.65</v>
      </c>
      <c r="AU187">
        <v>36.659999999999997</v>
      </c>
      <c r="AV187">
        <v>2023</v>
      </c>
      <c r="AW187">
        <v>16</v>
      </c>
      <c r="AX187">
        <v>670</v>
      </c>
      <c r="AY187">
        <v>0</v>
      </c>
      <c r="AZ187" t="s">
        <v>203</v>
      </c>
      <c r="BA187">
        <v>203.54</v>
      </c>
      <c r="BB187" s="1">
        <v>44949</v>
      </c>
    </row>
    <row r="188" spans="1:54" x14ac:dyDescent="0.25">
      <c r="A188">
        <v>2023</v>
      </c>
      <c r="B188">
        <v>40</v>
      </c>
      <c r="C188" s="1">
        <v>44949</v>
      </c>
      <c r="D188">
        <v>2023</v>
      </c>
      <c r="E188">
        <v>2022</v>
      </c>
      <c r="F188">
        <v>720</v>
      </c>
      <c r="H188" t="s">
        <v>200</v>
      </c>
      <c r="I188">
        <v>130</v>
      </c>
      <c r="J188">
        <v>0</v>
      </c>
      <c r="K188" t="s">
        <v>128</v>
      </c>
      <c r="R188" t="s">
        <v>190</v>
      </c>
      <c r="S188" t="str">
        <f t="shared" si="15"/>
        <v>31</v>
      </c>
      <c r="T188" t="s">
        <v>122</v>
      </c>
      <c r="W188" t="s">
        <v>198</v>
      </c>
      <c r="Y188">
        <v>3344</v>
      </c>
      <c r="Z188" t="s">
        <v>192</v>
      </c>
      <c r="AB188" t="str">
        <f t="shared" si="17"/>
        <v>02616630022</v>
      </c>
      <c r="AC188" t="s">
        <v>116</v>
      </c>
      <c r="AD188" t="s">
        <v>193</v>
      </c>
      <c r="AF188">
        <v>2022</v>
      </c>
      <c r="AG188">
        <v>3977</v>
      </c>
      <c r="AH188" t="str">
        <f t="shared" si="16"/>
        <v>1</v>
      </c>
      <c r="AI188" t="str">
        <f>"5220234994"</f>
        <v>5220234994</v>
      </c>
      <c r="AJ188" s="1">
        <v>44914</v>
      </c>
      <c r="AL188">
        <v>720.82</v>
      </c>
      <c r="AM188" t="str">
        <f>"8670002398"</f>
        <v>8670002398</v>
      </c>
      <c r="AN188">
        <v>2023</v>
      </c>
      <c r="AO188">
        <v>19</v>
      </c>
      <c r="AP188">
        <v>720.82</v>
      </c>
      <c r="AQ188">
        <v>0</v>
      </c>
      <c r="AR188" s="2">
        <v>5211.68</v>
      </c>
      <c r="AS188" t="s">
        <v>194</v>
      </c>
      <c r="AT188">
        <v>654.91</v>
      </c>
      <c r="AU188">
        <v>65.489999999999995</v>
      </c>
      <c r="AV188">
        <v>2023</v>
      </c>
      <c r="AW188">
        <v>16</v>
      </c>
      <c r="AX188">
        <v>670</v>
      </c>
      <c r="AY188">
        <v>0</v>
      </c>
      <c r="AZ188" t="s">
        <v>203</v>
      </c>
      <c r="BA188">
        <v>720.82</v>
      </c>
      <c r="BB188" s="1">
        <v>44949</v>
      </c>
    </row>
    <row r="189" spans="1:54" x14ac:dyDescent="0.25">
      <c r="A189">
        <v>2023</v>
      </c>
      <c r="B189">
        <v>40</v>
      </c>
      <c r="C189" s="1">
        <v>44949</v>
      </c>
      <c r="D189">
        <v>2023</v>
      </c>
      <c r="E189">
        <v>2022</v>
      </c>
      <c r="F189">
        <v>720</v>
      </c>
      <c r="H189" t="s">
        <v>200</v>
      </c>
      <c r="I189">
        <v>130</v>
      </c>
      <c r="J189">
        <v>0</v>
      </c>
      <c r="K189" t="s">
        <v>128</v>
      </c>
      <c r="R189" t="s">
        <v>190</v>
      </c>
      <c r="S189" t="str">
        <f t="shared" si="15"/>
        <v>31</v>
      </c>
      <c r="T189" t="s">
        <v>122</v>
      </c>
      <c r="W189" t="s">
        <v>198</v>
      </c>
      <c r="Y189">
        <v>3344</v>
      </c>
      <c r="Z189" t="s">
        <v>192</v>
      </c>
      <c r="AB189" t="str">
        <f t="shared" si="17"/>
        <v>02616630022</v>
      </c>
      <c r="AC189" t="s">
        <v>116</v>
      </c>
      <c r="AD189" t="s">
        <v>193</v>
      </c>
      <c r="AF189">
        <v>2022</v>
      </c>
      <c r="AG189">
        <v>3978</v>
      </c>
      <c r="AH189" t="str">
        <f t="shared" si="16"/>
        <v>1</v>
      </c>
      <c r="AI189" t="str">
        <f>"5220234988"</f>
        <v>5220234988</v>
      </c>
      <c r="AJ189" s="1">
        <v>44914</v>
      </c>
      <c r="AL189">
        <v>16.8</v>
      </c>
      <c r="AM189" t="str">
        <f>"8670037494"</f>
        <v>8670037494</v>
      </c>
      <c r="AN189">
        <v>2023</v>
      </c>
      <c r="AO189">
        <v>19</v>
      </c>
      <c r="AP189">
        <v>16.8</v>
      </c>
      <c r="AQ189">
        <v>0</v>
      </c>
      <c r="AR189" s="2">
        <v>5211.68</v>
      </c>
      <c r="AS189" t="s">
        <v>194</v>
      </c>
      <c r="AT189">
        <v>15.26</v>
      </c>
      <c r="AU189">
        <v>1.53</v>
      </c>
      <c r="AV189">
        <v>2023</v>
      </c>
      <c r="AW189">
        <v>16</v>
      </c>
      <c r="AX189">
        <v>670</v>
      </c>
      <c r="AY189">
        <v>0</v>
      </c>
      <c r="AZ189" t="s">
        <v>203</v>
      </c>
      <c r="BA189">
        <v>16.8</v>
      </c>
      <c r="BB189" s="1">
        <v>44949</v>
      </c>
    </row>
    <row r="190" spans="1:54" x14ac:dyDescent="0.25">
      <c r="A190">
        <v>2023</v>
      </c>
      <c r="B190">
        <v>40</v>
      </c>
      <c r="C190" s="1">
        <v>44949</v>
      </c>
      <c r="D190">
        <v>2023</v>
      </c>
      <c r="E190">
        <v>2022</v>
      </c>
      <c r="F190">
        <v>720</v>
      </c>
      <c r="H190" t="s">
        <v>200</v>
      </c>
      <c r="I190">
        <v>130</v>
      </c>
      <c r="J190">
        <v>0</v>
      </c>
      <c r="K190" t="s">
        <v>128</v>
      </c>
      <c r="R190" t="s">
        <v>190</v>
      </c>
      <c r="S190" t="str">
        <f t="shared" si="15"/>
        <v>31</v>
      </c>
      <c r="T190" t="s">
        <v>122</v>
      </c>
      <c r="W190" t="s">
        <v>198</v>
      </c>
      <c r="Y190">
        <v>3344</v>
      </c>
      <c r="Z190" t="s">
        <v>192</v>
      </c>
      <c r="AB190" t="str">
        <f t="shared" si="17"/>
        <v>02616630022</v>
      </c>
      <c r="AC190" t="s">
        <v>116</v>
      </c>
      <c r="AD190" t="s">
        <v>193</v>
      </c>
      <c r="AF190">
        <v>2022</v>
      </c>
      <c r="AG190">
        <v>3979</v>
      </c>
      <c r="AH190" t="str">
        <f t="shared" si="16"/>
        <v>1</v>
      </c>
      <c r="AI190" t="str">
        <f>"5220234951"</f>
        <v>5220234951</v>
      </c>
      <c r="AJ190" s="1">
        <v>44914</v>
      </c>
      <c r="AL190" s="2">
        <v>3896.18</v>
      </c>
      <c r="AM190" t="str">
        <f>"8670055798"</f>
        <v>8670055798</v>
      </c>
      <c r="AN190">
        <v>2023</v>
      </c>
      <c r="AO190">
        <v>19</v>
      </c>
      <c r="AP190" s="2">
        <v>3896.18</v>
      </c>
      <c r="AQ190">
        <v>0</v>
      </c>
      <c r="AR190" s="2">
        <v>5211.68</v>
      </c>
      <c r="AS190" t="s">
        <v>194</v>
      </c>
      <c r="AT190">
        <v>3535.15</v>
      </c>
      <c r="AU190">
        <v>353.52</v>
      </c>
      <c r="AV190">
        <v>2023</v>
      </c>
      <c r="AW190">
        <v>16</v>
      </c>
      <c r="AX190">
        <v>670</v>
      </c>
      <c r="AY190">
        <v>0</v>
      </c>
      <c r="AZ190" t="s">
        <v>203</v>
      </c>
      <c r="BA190">
        <v>3896.18</v>
      </c>
      <c r="BB190" s="1">
        <v>44949</v>
      </c>
    </row>
    <row r="191" spans="1:54" x14ac:dyDescent="0.25">
      <c r="A191">
        <v>2023</v>
      </c>
      <c r="B191">
        <v>40</v>
      </c>
      <c r="C191" s="1">
        <v>44949</v>
      </c>
      <c r="D191">
        <v>2023</v>
      </c>
      <c r="E191">
        <v>2022</v>
      </c>
      <c r="F191">
        <v>720</v>
      </c>
      <c r="H191" t="s">
        <v>200</v>
      </c>
      <c r="I191">
        <v>130</v>
      </c>
      <c r="J191">
        <v>0</v>
      </c>
      <c r="K191" t="s">
        <v>128</v>
      </c>
      <c r="R191" t="s">
        <v>190</v>
      </c>
      <c r="S191" t="str">
        <f t="shared" si="15"/>
        <v>31</v>
      </c>
      <c r="T191" t="s">
        <v>122</v>
      </c>
      <c r="W191" t="s">
        <v>198</v>
      </c>
      <c r="Y191">
        <v>3344</v>
      </c>
      <c r="Z191" t="s">
        <v>192</v>
      </c>
      <c r="AB191" t="str">
        <f t="shared" si="17"/>
        <v>02616630022</v>
      </c>
      <c r="AC191" t="s">
        <v>116</v>
      </c>
      <c r="AD191" t="s">
        <v>193</v>
      </c>
      <c r="AF191">
        <v>2022</v>
      </c>
      <c r="AG191">
        <v>3980</v>
      </c>
      <c r="AH191" t="str">
        <f t="shared" si="16"/>
        <v>1</v>
      </c>
      <c r="AI191" t="str">
        <f>"5220234927"</f>
        <v>5220234927</v>
      </c>
      <c r="AJ191" s="1">
        <v>44914</v>
      </c>
      <c r="AL191">
        <v>294.64</v>
      </c>
      <c r="AM191" t="str">
        <f>"8670086398"</f>
        <v>8670086398</v>
      </c>
      <c r="AN191">
        <v>2023</v>
      </c>
      <c r="AO191">
        <v>19</v>
      </c>
      <c r="AP191">
        <v>294.64</v>
      </c>
      <c r="AQ191">
        <v>0</v>
      </c>
      <c r="AR191" s="2">
        <v>5211.68</v>
      </c>
      <c r="AS191" t="s">
        <v>194</v>
      </c>
      <c r="AT191">
        <v>267.32</v>
      </c>
      <c r="AU191">
        <v>26.73</v>
      </c>
      <c r="AV191">
        <v>2023</v>
      </c>
      <c r="AW191">
        <v>16</v>
      </c>
      <c r="AX191">
        <v>670</v>
      </c>
      <c r="AY191">
        <v>0</v>
      </c>
      <c r="AZ191" t="s">
        <v>203</v>
      </c>
      <c r="BA191">
        <v>294.64</v>
      </c>
      <c r="BB191" s="1">
        <v>44949</v>
      </c>
    </row>
    <row r="192" spans="1:54" x14ac:dyDescent="0.25">
      <c r="A192">
        <v>2023</v>
      </c>
      <c r="B192">
        <v>40</v>
      </c>
      <c r="C192" s="1">
        <v>44949</v>
      </c>
      <c r="D192">
        <v>2023</v>
      </c>
      <c r="E192">
        <v>2022</v>
      </c>
      <c r="F192">
        <v>720</v>
      </c>
      <c r="H192" t="s">
        <v>200</v>
      </c>
      <c r="I192">
        <v>130</v>
      </c>
      <c r="J192">
        <v>0</v>
      </c>
      <c r="K192" t="s">
        <v>128</v>
      </c>
      <c r="R192" t="s">
        <v>190</v>
      </c>
      <c r="S192" t="str">
        <f t="shared" si="15"/>
        <v>31</v>
      </c>
      <c r="T192" t="s">
        <v>122</v>
      </c>
      <c r="W192" t="s">
        <v>198</v>
      </c>
      <c r="Y192">
        <v>3344</v>
      </c>
      <c r="Z192" t="s">
        <v>192</v>
      </c>
      <c r="AB192" t="str">
        <f t="shared" si="17"/>
        <v>02616630022</v>
      </c>
      <c r="AC192" t="s">
        <v>116</v>
      </c>
      <c r="AD192" t="s">
        <v>193</v>
      </c>
      <c r="AF192">
        <v>2022</v>
      </c>
      <c r="AG192">
        <v>3981</v>
      </c>
      <c r="AH192" t="str">
        <f t="shared" si="16"/>
        <v>1</v>
      </c>
      <c r="AI192" t="str">
        <f>"5220234971"</f>
        <v>5220234971</v>
      </c>
      <c r="AJ192" s="1">
        <v>44914</v>
      </c>
      <c r="AL192" s="2">
        <v>2223.8000000000002</v>
      </c>
      <c r="AM192" t="str">
        <f>"8669979599"</f>
        <v>8669979599</v>
      </c>
      <c r="AN192">
        <v>2023</v>
      </c>
      <c r="AO192">
        <v>19</v>
      </c>
      <c r="AP192" s="2">
        <v>2223.8000000000002</v>
      </c>
      <c r="AQ192">
        <v>0</v>
      </c>
      <c r="AR192" s="2">
        <v>5211.68</v>
      </c>
      <c r="AS192" t="s">
        <v>194</v>
      </c>
      <c r="AT192">
        <v>2015.78</v>
      </c>
      <c r="AU192">
        <v>201.58</v>
      </c>
      <c r="AV192">
        <v>2023</v>
      </c>
      <c r="AW192">
        <v>16</v>
      </c>
      <c r="AX192">
        <v>670</v>
      </c>
      <c r="AY192">
        <v>0</v>
      </c>
      <c r="AZ192" t="s">
        <v>203</v>
      </c>
      <c r="BA192">
        <v>2223.8000000000002</v>
      </c>
      <c r="BB192" s="1">
        <v>44949</v>
      </c>
    </row>
    <row r="193" spans="1:54" x14ac:dyDescent="0.25">
      <c r="A193">
        <v>2023</v>
      </c>
      <c r="B193">
        <v>40</v>
      </c>
      <c r="C193" s="1">
        <v>44949</v>
      </c>
      <c r="D193">
        <v>2023</v>
      </c>
      <c r="E193">
        <v>2022</v>
      </c>
      <c r="F193">
        <v>720</v>
      </c>
      <c r="H193" t="s">
        <v>200</v>
      </c>
      <c r="I193">
        <v>130</v>
      </c>
      <c r="J193">
        <v>0</v>
      </c>
      <c r="K193" t="s">
        <v>128</v>
      </c>
      <c r="R193" t="s">
        <v>190</v>
      </c>
      <c r="S193" t="str">
        <f t="shared" si="15"/>
        <v>31</v>
      </c>
      <c r="T193" t="s">
        <v>122</v>
      </c>
      <c r="W193" t="s">
        <v>198</v>
      </c>
      <c r="Y193">
        <v>3344</v>
      </c>
      <c r="Z193" t="s">
        <v>192</v>
      </c>
      <c r="AB193" t="str">
        <f t="shared" si="17"/>
        <v>02616630022</v>
      </c>
      <c r="AC193" t="s">
        <v>116</v>
      </c>
      <c r="AD193" t="s">
        <v>193</v>
      </c>
      <c r="AF193">
        <v>2023</v>
      </c>
      <c r="AG193">
        <v>16</v>
      </c>
      <c r="AH193" t="str">
        <f t="shared" si="16"/>
        <v>1</v>
      </c>
      <c r="AI193" t="str">
        <f>"1552300029"</f>
        <v>1552300029</v>
      </c>
      <c r="AJ193" s="1">
        <v>44931</v>
      </c>
      <c r="AL193">
        <v>339.96</v>
      </c>
      <c r="AM193" t="str">
        <f>"8777429608"</f>
        <v>8777429608</v>
      </c>
      <c r="AN193">
        <v>2023</v>
      </c>
      <c r="AO193">
        <v>19</v>
      </c>
      <c r="AP193">
        <v>339.96</v>
      </c>
      <c r="AQ193">
        <v>0</v>
      </c>
      <c r="AR193" s="2">
        <v>5211.68</v>
      </c>
      <c r="AS193" t="s">
        <v>194</v>
      </c>
      <c r="AT193">
        <v>309.05</v>
      </c>
      <c r="AU193">
        <v>30.91</v>
      </c>
      <c r="AV193">
        <v>2023</v>
      </c>
      <c r="AW193">
        <v>16</v>
      </c>
      <c r="AX193">
        <v>670</v>
      </c>
      <c r="AY193">
        <v>0</v>
      </c>
      <c r="AZ193" t="s">
        <v>203</v>
      </c>
      <c r="BA193">
        <v>339.96</v>
      </c>
      <c r="BB193" s="1">
        <v>44949</v>
      </c>
    </row>
    <row r="194" spans="1:54" x14ac:dyDescent="0.25">
      <c r="A194">
        <v>2023</v>
      </c>
      <c r="B194">
        <v>40</v>
      </c>
      <c r="C194" s="1">
        <v>44949</v>
      </c>
      <c r="D194">
        <v>2023</v>
      </c>
      <c r="E194">
        <v>2022</v>
      </c>
      <c r="F194">
        <v>720</v>
      </c>
      <c r="H194" t="s">
        <v>200</v>
      </c>
      <c r="I194">
        <v>130</v>
      </c>
      <c r="J194">
        <v>0</v>
      </c>
      <c r="K194" t="s">
        <v>128</v>
      </c>
      <c r="R194" t="s">
        <v>190</v>
      </c>
      <c r="S194" t="str">
        <f t="shared" si="15"/>
        <v>31</v>
      </c>
      <c r="T194" t="s">
        <v>122</v>
      </c>
      <c r="W194" t="s">
        <v>198</v>
      </c>
      <c r="Y194">
        <v>3344</v>
      </c>
      <c r="Z194" t="s">
        <v>192</v>
      </c>
      <c r="AB194" t="str">
        <f t="shared" si="17"/>
        <v>02616630022</v>
      </c>
      <c r="AC194" t="s">
        <v>116</v>
      </c>
      <c r="AD194" t="s">
        <v>193</v>
      </c>
      <c r="AF194">
        <v>2023</v>
      </c>
      <c r="AG194">
        <v>17</v>
      </c>
      <c r="AH194" t="str">
        <f t="shared" si="16"/>
        <v>1</v>
      </c>
      <c r="AI194" t="str">
        <f>"1552300030"</f>
        <v>1552300030</v>
      </c>
      <c r="AJ194" s="1">
        <v>44931</v>
      </c>
      <c r="AL194" s="2">
        <v>4836.1400000000003</v>
      </c>
      <c r="AM194" t="str">
        <f>"8777430303"</f>
        <v>8777430303</v>
      </c>
      <c r="AN194">
        <v>2023</v>
      </c>
      <c r="AO194">
        <v>19</v>
      </c>
      <c r="AP194" s="2">
        <v>4836.1400000000003</v>
      </c>
      <c r="AQ194">
        <v>0</v>
      </c>
      <c r="AR194" s="2">
        <v>5211.68</v>
      </c>
      <c r="AS194" t="s">
        <v>194</v>
      </c>
      <c r="AT194">
        <v>4396.49</v>
      </c>
      <c r="AU194">
        <v>439.65</v>
      </c>
      <c r="AV194">
        <v>2023</v>
      </c>
      <c r="AW194">
        <v>16</v>
      </c>
      <c r="AX194">
        <v>670</v>
      </c>
      <c r="AY194">
        <v>0</v>
      </c>
      <c r="AZ194" t="s">
        <v>203</v>
      </c>
      <c r="BA194">
        <v>4836.1400000000003</v>
      </c>
      <c r="BB194" s="1">
        <v>44949</v>
      </c>
    </row>
    <row r="195" spans="1:54" x14ac:dyDescent="0.25">
      <c r="A195">
        <v>2023</v>
      </c>
      <c r="B195">
        <v>40</v>
      </c>
      <c r="C195" s="1">
        <v>44949</v>
      </c>
      <c r="D195">
        <v>2023</v>
      </c>
      <c r="E195">
        <v>2022</v>
      </c>
      <c r="F195">
        <v>720</v>
      </c>
      <c r="H195" t="s">
        <v>200</v>
      </c>
      <c r="I195">
        <v>130</v>
      </c>
      <c r="J195">
        <v>0</v>
      </c>
      <c r="K195" t="s">
        <v>128</v>
      </c>
      <c r="R195" t="s">
        <v>190</v>
      </c>
      <c r="S195" t="str">
        <f t="shared" si="15"/>
        <v>31</v>
      </c>
      <c r="T195" t="s">
        <v>122</v>
      </c>
      <c r="W195" t="s">
        <v>198</v>
      </c>
      <c r="Y195">
        <v>3344</v>
      </c>
      <c r="Z195" t="s">
        <v>192</v>
      </c>
      <c r="AB195" t="str">
        <f t="shared" si="17"/>
        <v>02616630022</v>
      </c>
      <c r="AC195" t="s">
        <v>116</v>
      </c>
      <c r="AD195" t="s">
        <v>193</v>
      </c>
      <c r="AF195">
        <v>2023</v>
      </c>
      <c r="AG195">
        <v>18</v>
      </c>
      <c r="AH195" t="str">
        <f t="shared" si="16"/>
        <v>1</v>
      </c>
      <c r="AI195" t="str">
        <f>"1552300031"</f>
        <v>1552300031</v>
      </c>
      <c r="AJ195" s="1">
        <v>44931</v>
      </c>
      <c r="AL195">
        <v>225.34</v>
      </c>
      <c r="AM195" t="str">
        <f>"8777430105"</f>
        <v>8777430105</v>
      </c>
      <c r="AN195">
        <v>2023</v>
      </c>
      <c r="AO195">
        <v>19</v>
      </c>
      <c r="AP195">
        <v>225.34</v>
      </c>
      <c r="AQ195">
        <v>0</v>
      </c>
      <c r="AR195" s="2">
        <v>5211.68</v>
      </c>
      <c r="AS195" t="s">
        <v>194</v>
      </c>
      <c r="AT195">
        <v>204.85</v>
      </c>
      <c r="AU195">
        <v>20.49</v>
      </c>
      <c r="AV195">
        <v>2023</v>
      </c>
      <c r="AW195">
        <v>16</v>
      </c>
      <c r="AX195">
        <v>670</v>
      </c>
      <c r="AY195">
        <v>0</v>
      </c>
      <c r="AZ195" t="s">
        <v>203</v>
      </c>
      <c r="BA195">
        <v>225.34</v>
      </c>
      <c r="BB195" s="1">
        <v>44949</v>
      </c>
    </row>
    <row r="196" spans="1:54" x14ac:dyDescent="0.25">
      <c r="A196">
        <v>2023</v>
      </c>
      <c r="B196">
        <v>41</v>
      </c>
      <c r="C196" s="1">
        <v>44950</v>
      </c>
      <c r="D196">
        <v>2023</v>
      </c>
      <c r="E196">
        <v>2023</v>
      </c>
      <c r="F196">
        <v>30</v>
      </c>
      <c r="H196" t="s">
        <v>204</v>
      </c>
      <c r="I196">
        <v>155</v>
      </c>
      <c r="J196">
        <v>0</v>
      </c>
      <c r="K196" t="s">
        <v>205</v>
      </c>
      <c r="S196" t="str">
        <f>"33"</f>
        <v>33</v>
      </c>
      <c r="T196" t="s">
        <v>64</v>
      </c>
      <c r="W196" t="s">
        <v>206</v>
      </c>
      <c r="Y196">
        <v>2567</v>
      </c>
      <c r="Z196" t="s">
        <v>207</v>
      </c>
      <c r="AB196" t="str">
        <f>"00884060526"</f>
        <v>00884060526</v>
      </c>
      <c r="AC196" t="s">
        <v>116</v>
      </c>
      <c r="AD196" t="s">
        <v>208</v>
      </c>
      <c r="AP196" s="2">
        <v>19547</v>
      </c>
      <c r="AQ196">
        <v>0</v>
      </c>
      <c r="AR196">
        <v>0</v>
      </c>
      <c r="BA196">
        <v>19547</v>
      </c>
      <c r="BB196" s="1">
        <v>44950</v>
      </c>
    </row>
    <row r="197" spans="1:54" x14ac:dyDescent="0.25">
      <c r="A197">
        <v>2023</v>
      </c>
      <c r="B197">
        <v>42</v>
      </c>
      <c r="C197" s="1">
        <v>44950</v>
      </c>
      <c r="D197">
        <v>2023</v>
      </c>
      <c r="E197">
        <v>2022</v>
      </c>
      <c r="F197">
        <v>746</v>
      </c>
      <c r="H197" t="s">
        <v>209</v>
      </c>
      <c r="I197">
        <v>300</v>
      </c>
      <c r="J197">
        <v>0</v>
      </c>
      <c r="K197" t="s">
        <v>210</v>
      </c>
      <c r="S197" t="str">
        <f>"33"</f>
        <v>33</v>
      </c>
      <c r="T197" t="s">
        <v>64</v>
      </c>
      <c r="W197" t="s">
        <v>211</v>
      </c>
      <c r="Y197">
        <v>2567</v>
      </c>
      <c r="Z197" t="s">
        <v>207</v>
      </c>
      <c r="AB197" t="str">
        <f>"00884060526"</f>
        <v>00884060526</v>
      </c>
      <c r="AC197" t="s">
        <v>116</v>
      </c>
      <c r="AD197" t="s">
        <v>208</v>
      </c>
      <c r="AP197" s="2">
        <v>357142.85</v>
      </c>
      <c r="AQ197">
        <v>0</v>
      </c>
      <c r="AR197">
        <v>0</v>
      </c>
      <c r="BA197">
        <v>357142.85</v>
      </c>
      <c r="BB197" s="1">
        <v>44950</v>
      </c>
    </row>
    <row r="198" spans="1:54" x14ac:dyDescent="0.25">
      <c r="A198">
        <v>2023</v>
      </c>
      <c r="B198">
        <v>43</v>
      </c>
      <c r="C198" s="1">
        <v>44950</v>
      </c>
      <c r="D198">
        <v>2023</v>
      </c>
      <c r="E198">
        <v>2023</v>
      </c>
      <c r="F198">
        <v>26</v>
      </c>
      <c r="H198" t="s">
        <v>212</v>
      </c>
      <c r="I198">
        <v>110</v>
      </c>
      <c r="J198">
        <v>0</v>
      </c>
      <c r="K198" t="s">
        <v>213</v>
      </c>
      <c r="S198" t="str">
        <f>"30"</f>
        <v>30</v>
      </c>
      <c r="T198" t="s">
        <v>78</v>
      </c>
      <c r="W198" t="s">
        <v>214</v>
      </c>
      <c r="Y198">
        <v>1743</v>
      </c>
      <c r="Z198" t="s">
        <v>215</v>
      </c>
      <c r="AC198" t="s">
        <v>103</v>
      </c>
      <c r="AP198" s="2">
        <v>174735.62</v>
      </c>
      <c r="AQ198">
        <v>0</v>
      </c>
      <c r="AR198">
        <v>0</v>
      </c>
      <c r="BA198">
        <v>174735.62</v>
      </c>
      <c r="BB198" s="1">
        <v>44950</v>
      </c>
    </row>
    <row r="199" spans="1:54" x14ac:dyDescent="0.25">
      <c r="A199">
        <v>2023</v>
      </c>
      <c r="B199">
        <v>44</v>
      </c>
      <c r="C199" s="1">
        <v>44950</v>
      </c>
      <c r="D199">
        <v>2023</v>
      </c>
      <c r="E199">
        <v>2023</v>
      </c>
      <c r="F199">
        <v>26</v>
      </c>
      <c r="H199" t="s">
        <v>212</v>
      </c>
      <c r="I199">
        <v>110</v>
      </c>
      <c r="J199">
        <v>0</v>
      </c>
      <c r="K199" t="s">
        <v>213</v>
      </c>
      <c r="S199" t="str">
        <f>"30"</f>
        <v>30</v>
      </c>
      <c r="T199" t="s">
        <v>78</v>
      </c>
      <c r="W199" t="s">
        <v>214</v>
      </c>
      <c r="Y199">
        <v>1743</v>
      </c>
      <c r="Z199" t="s">
        <v>215</v>
      </c>
      <c r="AC199" t="s">
        <v>103</v>
      </c>
      <c r="AP199" s="2">
        <v>8148.91</v>
      </c>
      <c r="AQ199">
        <v>0</v>
      </c>
      <c r="AR199">
        <v>0</v>
      </c>
      <c r="BA199">
        <v>8148.91</v>
      </c>
      <c r="BB199" s="1">
        <v>44950</v>
      </c>
    </row>
    <row r="200" spans="1:54" x14ac:dyDescent="0.25">
      <c r="A200">
        <v>2023</v>
      </c>
      <c r="B200">
        <v>45</v>
      </c>
      <c r="C200" s="1">
        <v>44950</v>
      </c>
      <c r="D200">
        <v>2023</v>
      </c>
      <c r="E200">
        <v>2023</v>
      </c>
      <c r="F200">
        <v>26</v>
      </c>
      <c r="H200" t="s">
        <v>212</v>
      </c>
      <c r="I200">
        <v>110</v>
      </c>
      <c r="J200">
        <v>0</v>
      </c>
      <c r="K200" t="s">
        <v>213</v>
      </c>
      <c r="S200" t="str">
        <f>"30"</f>
        <v>30</v>
      </c>
      <c r="T200" t="s">
        <v>78</v>
      </c>
      <c r="W200" t="s">
        <v>214</v>
      </c>
      <c r="Y200">
        <v>1743</v>
      </c>
      <c r="Z200" t="s">
        <v>215</v>
      </c>
      <c r="AC200" t="s">
        <v>60</v>
      </c>
      <c r="AP200" s="2">
        <v>85139</v>
      </c>
      <c r="AQ200">
        <v>0</v>
      </c>
      <c r="AR200" s="2">
        <v>85139</v>
      </c>
      <c r="BA200">
        <v>85139</v>
      </c>
      <c r="BB200" s="1">
        <v>44950</v>
      </c>
    </row>
    <row r="201" spans="1:54" x14ac:dyDescent="0.25">
      <c r="A201">
        <v>2023</v>
      </c>
      <c r="B201">
        <v>46</v>
      </c>
      <c r="C201" s="1">
        <v>44950</v>
      </c>
      <c r="D201">
        <v>2023</v>
      </c>
      <c r="E201">
        <v>2022</v>
      </c>
      <c r="F201">
        <v>306</v>
      </c>
      <c r="H201" t="s">
        <v>216</v>
      </c>
      <c r="I201">
        <v>115</v>
      </c>
      <c r="J201">
        <v>0</v>
      </c>
      <c r="K201" t="s">
        <v>217</v>
      </c>
      <c r="S201" t="str">
        <f>"30"</f>
        <v>30</v>
      </c>
      <c r="T201" t="s">
        <v>78</v>
      </c>
      <c r="W201" t="s">
        <v>218</v>
      </c>
      <c r="Y201">
        <v>1743</v>
      </c>
      <c r="Z201" t="s">
        <v>215</v>
      </c>
      <c r="AC201" t="s">
        <v>103</v>
      </c>
      <c r="AP201" s="2">
        <v>3091</v>
      </c>
      <c r="AQ201">
        <v>0</v>
      </c>
      <c r="AR201">
        <v>0</v>
      </c>
      <c r="BA201">
        <v>3091</v>
      </c>
      <c r="BB201" s="1">
        <v>44950</v>
      </c>
    </row>
    <row r="202" spans="1:54" x14ac:dyDescent="0.25">
      <c r="A202">
        <v>2023</v>
      </c>
      <c r="B202">
        <v>47</v>
      </c>
      <c r="C202" s="1">
        <v>44950</v>
      </c>
      <c r="D202">
        <v>2023</v>
      </c>
      <c r="E202">
        <v>2022</v>
      </c>
      <c r="F202">
        <v>9</v>
      </c>
      <c r="H202" t="s">
        <v>219</v>
      </c>
      <c r="I202">
        <v>112</v>
      </c>
      <c r="J202">
        <v>0</v>
      </c>
      <c r="K202" t="s">
        <v>220</v>
      </c>
      <c r="S202" t="str">
        <f>"30"</f>
        <v>30</v>
      </c>
      <c r="T202" t="s">
        <v>78</v>
      </c>
      <c r="W202" t="s">
        <v>221</v>
      </c>
      <c r="Y202">
        <v>1743</v>
      </c>
      <c r="Z202" t="s">
        <v>215</v>
      </c>
      <c r="AC202" t="s">
        <v>103</v>
      </c>
      <c r="AP202">
        <v>958.37</v>
      </c>
      <c r="AQ202">
        <v>0</v>
      </c>
      <c r="AR202">
        <v>0</v>
      </c>
      <c r="BA202">
        <v>958.37</v>
      </c>
      <c r="BB202" s="1">
        <v>44950</v>
      </c>
    </row>
    <row r="203" spans="1:54" x14ac:dyDescent="0.25">
      <c r="A203">
        <v>2023</v>
      </c>
      <c r="B203">
        <v>48</v>
      </c>
      <c r="C203" s="1">
        <v>44950</v>
      </c>
      <c r="D203">
        <v>2023</v>
      </c>
      <c r="E203">
        <v>2023</v>
      </c>
      <c r="F203">
        <v>40</v>
      </c>
      <c r="H203" t="s">
        <v>222</v>
      </c>
      <c r="I203">
        <v>470</v>
      </c>
      <c r="J203">
        <v>0</v>
      </c>
      <c r="K203" t="s">
        <v>154</v>
      </c>
      <c r="W203" t="s">
        <v>223</v>
      </c>
      <c r="Y203">
        <v>1743</v>
      </c>
      <c r="Z203" t="s">
        <v>215</v>
      </c>
      <c r="AC203" t="s">
        <v>103</v>
      </c>
      <c r="AP203" s="2">
        <v>3981.2</v>
      </c>
      <c r="AQ203">
        <v>0</v>
      </c>
      <c r="AR203">
        <v>0</v>
      </c>
      <c r="BA203">
        <v>3981.2</v>
      </c>
      <c r="BB203" s="1">
        <v>44950</v>
      </c>
    </row>
    <row r="204" spans="1:54" x14ac:dyDescent="0.25">
      <c r="A204">
        <v>2023</v>
      </c>
      <c r="B204">
        <v>49</v>
      </c>
      <c r="C204" s="1">
        <v>44950</v>
      </c>
      <c r="D204">
        <v>2023</v>
      </c>
      <c r="E204">
        <v>2023</v>
      </c>
      <c r="F204">
        <v>38</v>
      </c>
      <c r="H204" t="s">
        <v>224</v>
      </c>
      <c r="I204">
        <v>100</v>
      </c>
      <c r="J204">
        <v>0</v>
      </c>
      <c r="K204" t="s">
        <v>77</v>
      </c>
      <c r="S204" t="str">
        <f>"30"</f>
        <v>30</v>
      </c>
      <c r="T204" t="s">
        <v>78</v>
      </c>
      <c r="W204" t="s">
        <v>225</v>
      </c>
      <c r="Y204">
        <v>190</v>
      </c>
      <c r="Z204" t="s">
        <v>226</v>
      </c>
      <c r="AC204" t="s">
        <v>103</v>
      </c>
      <c r="AP204" s="2">
        <v>1839.96</v>
      </c>
      <c r="AQ204">
        <v>0</v>
      </c>
      <c r="AR204">
        <v>0</v>
      </c>
      <c r="BA204">
        <v>1839.96</v>
      </c>
      <c r="BB204" s="1">
        <v>44950</v>
      </c>
    </row>
    <row r="205" spans="1:54" x14ac:dyDescent="0.25">
      <c r="A205">
        <v>2023</v>
      </c>
      <c r="B205">
        <v>50</v>
      </c>
      <c r="C205" s="1">
        <v>44950</v>
      </c>
      <c r="D205">
        <v>2023</v>
      </c>
      <c r="E205">
        <v>2022</v>
      </c>
      <c r="F205">
        <v>13</v>
      </c>
      <c r="H205" t="s">
        <v>76</v>
      </c>
      <c r="I205">
        <v>100</v>
      </c>
      <c r="J205">
        <v>0</v>
      </c>
      <c r="K205" t="s">
        <v>77</v>
      </c>
      <c r="S205" t="str">
        <f>"30"</f>
        <v>30</v>
      </c>
      <c r="T205" t="s">
        <v>78</v>
      </c>
      <c r="W205" t="s">
        <v>227</v>
      </c>
      <c r="Y205">
        <v>190</v>
      </c>
      <c r="Z205" t="s">
        <v>226</v>
      </c>
      <c r="AC205" t="s">
        <v>103</v>
      </c>
      <c r="AP205" s="2">
        <v>2105.7600000000002</v>
      </c>
      <c r="AQ205">
        <v>0</v>
      </c>
      <c r="AR205">
        <v>0</v>
      </c>
      <c r="BA205">
        <v>2105.7600000000002</v>
      </c>
      <c r="BB205" s="1">
        <v>44950</v>
      </c>
    </row>
    <row r="206" spans="1:54" x14ac:dyDescent="0.25">
      <c r="A206">
        <v>2023</v>
      </c>
      <c r="B206">
        <v>51</v>
      </c>
      <c r="C206" s="1">
        <v>44950</v>
      </c>
      <c r="D206">
        <v>2023</v>
      </c>
      <c r="E206">
        <v>2022</v>
      </c>
      <c r="F206">
        <v>23</v>
      </c>
      <c r="H206" t="s">
        <v>228</v>
      </c>
      <c r="I206">
        <v>104</v>
      </c>
      <c r="J206">
        <v>0</v>
      </c>
      <c r="K206" t="s">
        <v>229</v>
      </c>
      <c r="S206" t="str">
        <f>"31"</f>
        <v>31</v>
      </c>
      <c r="T206" t="s">
        <v>122</v>
      </c>
      <c r="W206" t="s">
        <v>227</v>
      </c>
      <c r="Y206">
        <v>190</v>
      </c>
      <c r="Z206" t="s">
        <v>226</v>
      </c>
      <c r="AC206" t="s">
        <v>103</v>
      </c>
      <c r="AP206">
        <v>570.69000000000005</v>
      </c>
      <c r="AQ206">
        <v>0</v>
      </c>
      <c r="AR206">
        <v>0</v>
      </c>
      <c r="BA206">
        <v>570.69000000000005</v>
      </c>
      <c r="BB206" s="1">
        <v>44950</v>
      </c>
    </row>
    <row r="207" spans="1:54" x14ac:dyDescent="0.25">
      <c r="A207">
        <v>2023</v>
      </c>
      <c r="B207">
        <v>52</v>
      </c>
      <c r="C207" s="1">
        <v>44950</v>
      </c>
      <c r="D207">
        <v>2023</v>
      </c>
      <c r="E207">
        <v>2023</v>
      </c>
      <c r="F207">
        <v>38</v>
      </c>
      <c r="H207" t="s">
        <v>224</v>
      </c>
      <c r="I207">
        <v>100</v>
      </c>
      <c r="J207">
        <v>0</v>
      </c>
      <c r="K207" t="s">
        <v>77</v>
      </c>
      <c r="S207" t="str">
        <f>"30"</f>
        <v>30</v>
      </c>
      <c r="T207" t="s">
        <v>78</v>
      </c>
      <c r="W207" t="s">
        <v>225</v>
      </c>
      <c r="Y207">
        <v>190</v>
      </c>
      <c r="Z207" t="s">
        <v>226</v>
      </c>
      <c r="AC207" t="s">
        <v>60</v>
      </c>
      <c r="AP207">
        <v>960.04</v>
      </c>
      <c r="AQ207">
        <v>0</v>
      </c>
      <c r="AR207">
        <v>960.04</v>
      </c>
      <c r="BA207">
        <v>960.04</v>
      </c>
      <c r="BB207" s="1">
        <v>44950</v>
      </c>
    </row>
    <row r="208" spans="1:54" x14ac:dyDescent="0.25">
      <c r="A208">
        <v>2023</v>
      </c>
      <c r="B208">
        <v>53</v>
      </c>
      <c r="C208" s="1">
        <v>44951</v>
      </c>
      <c r="D208">
        <v>2023</v>
      </c>
      <c r="E208">
        <v>2022</v>
      </c>
      <c r="F208">
        <v>142</v>
      </c>
      <c r="H208" t="s">
        <v>230</v>
      </c>
      <c r="I208">
        <v>120</v>
      </c>
      <c r="J208">
        <v>0</v>
      </c>
      <c r="K208" t="s">
        <v>120</v>
      </c>
      <c r="R208" t="s">
        <v>231</v>
      </c>
      <c r="S208" t="str">
        <f>"31"</f>
        <v>31</v>
      </c>
      <c r="T208" t="s">
        <v>122</v>
      </c>
      <c r="W208" t="s">
        <v>232</v>
      </c>
      <c r="Y208">
        <v>363</v>
      </c>
      <c r="Z208" t="s">
        <v>124</v>
      </c>
      <c r="AB208" t="str">
        <f>"00484960588"</f>
        <v>00484960588</v>
      </c>
      <c r="AC208" t="s">
        <v>116</v>
      </c>
      <c r="AD208" t="s">
        <v>233</v>
      </c>
      <c r="AE208" t="s">
        <v>234</v>
      </c>
      <c r="AF208">
        <v>2023</v>
      </c>
      <c r="AG208">
        <v>21</v>
      </c>
      <c r="AH208" t="str">
        <f>"1"</f>
        <v>1</v>
      </c>
      <c r="AI208" t="str">
        <f>"23814300"</f>
        <v>23814300</v>
      </c>
      <c r="AJ208" s="1">
        <v>44923</v>
      </c>
      <c r="AK208" t="s">
        <v>232</v>
      </c>
      <c r="AL208" s="2">
        <v>3096.99</v>
      </c>
      <c r="AM208" t="str">
        <f>"8773932818"</f>
        <v>8773932818</v>
      </c>
      <c r="AN208">
        <v>2023</v>
      </c>
      <c r="AO208">
        <v>10</v>
      </c>
      <c r="AP208" s="2">
        <v>3096.99</v>
      </c>
      <c r="AQ208">
        <v>0</v>
      </c>
      <c r="AR208">
        <v>558.47</v>
      </c>
      <c r="AS208" t="s">
        <v>177</v>
      </c>
      <c r="AT208">
        <v>2538.52</v>
      </c>
      <c r="AU208">
        <v>558.47</v>
      </c>
      <c r="AV208">
        <v>2023</v>
      </c>
      <c r="AW208">
        <v>24</v>
      </c>
      <c r="AX208">
        <v>670</v>
      </c>
      <c r="AY208">
        <v>0</v>
      </c>
      <c r="AZ208" t="s">
        <v>235</v>
      </c>
      <c r="BA208">
        <v>3096.99</v>
      </c>
      <c r="BB208" s="1">
        <v>44951</v>
      </c>
    </row>
    <row r="209" spans="1:54" x14ac:dyDescent="0.25">
      <c r="A209">
        <v>2023</v>
      </c>
      <c r="B209">
        <v>54</v>
      </c>
      <c r="C209" s="1">
        <v>44951</v>
      </c>
      <c r="D209">
        <v>2023</v>
      </c>
      <c r="E209">
        <v>2022</v>
      </c>
      <c r="F209">
        <v>603</v>
      </c>
      <c r="H209" t="s">
        <v>236</v>
      </c>
      <c r="I209">
        <v>109</v>
      </c>
      <c r="J209">
        <v>0</v>
      </c>
      <c r="K209" t="s">
        <v>159</v>
      </c>
      <c r="R209" t="s">
        <v>237</v>
      </c>
      <c r="S209" t="str">
        <f t="shared" ref="S209:S215" si="18">"30"</f>
        <v>30</v>
      </c>
      <c r="T209" t="s">
        <v>78</v>
      </c>
      <c r="W209" t="s">
        <v>238</v>
      </c>
      <c r="Y209">
        <v>2900</v>
      </c>
      <c r="Z209" t="s">
        <v>239</v>
      </c>
      <c r="AB209" t="str">
        <f>"04156490270"</f>
        <v>04156490270</v>
      </c>
      <c r="AC209" t="s">
        <v>116</v>
      </c>
      <c r="AD209" t="s">
        <v>240</v>
      </c>
      <c r="AF209">
        <v>2023</v>
      </c>
      <c r="AG209">
        <v>12</v>
      </c>
      <c r="AH209" t="str">
        <f>"1"</f>
        <v>1</v>
      </c>
      <c r="AI209" t="str">
        <f>"18"</f>
        <v>18</v>
      </c>
      <c r="AJ209" s="1">
        <v>44926</v>
      </c>
      <c r="AK209" t="s">
        <v>238</v>
      </c>
      <c r="AL209" s="2">
        <v>1830</v>
      </c>
      <c r="AM209" t="str">
        <f>"8791988679"</f>
        <v>8791988679</v>
      </c>
      <c r="AN209">
        <v>2023</v>
      </c>
      <c r="AO209">
        <v>1</v>
      </c>
      <c r="AP209" s="2">
        <v>1830</v>
      </c>
      <c r="AQ209">
        <v>0</v>
      </c>
      <c r="AR209">
        <v>330</v>
      </c>
      <c r="AS209" t="s">
        <v>177</v>
      </c>
      <c r="AT209">
        <v>1500</v>
      </c>
      <c r="AU209">
        <v>330</v>
      </c>
      <c r="AV209">
        <v>2023</v>
      </c>
      <c r="AW209">
        <v>25</v>
      </c>
      <c r="AX209">
        <v>670</v>
      </c>
      <c r="AY209">
        <v>0</v>
      </c>
      <c r="AZ209" t="s">
        <v>241</v>
      </c>
      <c r="BA209">
        <v>1830</v>
      </c>
      <c r="BB209" s="1">
        <v>44951</v>
      </c>
    </row>
    <row r="210" spans="1:54" x14ac:dyDescent="0.25">
      <c r="A210">
        <v>2023</v>
      </c>
      <c r="B210">
        <v>55</v>
      </c>
      <c r="C210" s="1">
        <v>44951</v>
      </c>
      <c r="D210">
        <v>2023</v>
      </c>
      <c r="E210">
        <v>2022</v>
      </c>
      <c r="F210">
        <v>743</v>
      </c>
      <c r="H210" t="s">
        <v>242</v>
      </c>
      <c r="I210">
        <v>109</v>
      </c>
      <c r="J210">
        <v>0</v>
      </c>
      <c r="K210" t="s">
        <v>159</v>
      </c>
      <c r="S210" t="str">
        <f t="shared" si="18"/>
        <v>30</v>
      </c>
      <c r="T210" t="s">
        <v>78</v>
      </c>
      <c r="W210" t="s">
        <v>243</v>
      </c>
      <c r="Y210">
        <v>125</v>
      </c>
      <c r="Z210" t="s">
        <v>244</v>
      </c>
      <c r="AB210" t="str">
        <f>"80012700276"</f>
        <v>80012700276</v>
      </c>
      <c r="AC210" t="s">
        <v>116</v>
      </c>
      <c r="AD210" t="s">
        <v>245</v>
      </c>
      <c r="AF210">
        <v>2023</v>
      </c>
      <c r="AG210">
        <v>45</v>
      </c>
      <c r="AH210" t="str">
        <f>"7"</f>
        <v>7</v>
      </c>
      <c r="AI210" t="s">
        <v>246</v>
      </c>
      <c r="AJ210" s="1">
        <v>44924</v>
      </c>
      <c r="AK210" t="s">
        <v>243</v>
      </c>
      <c r="AL210" s="2">
        <v>10000</v>
      </c>
      <c r="AN210">
        <v>2023</v>
      </c>
      <c r="AO210">
        <v>44</v>
      </c>
      <c r="AP210" s="2">
        <v>10000</v>
      </c>
      <c r="AQ210">
        <v>0</v>
      </c>
      <c r="AR210">
        <v>0</v>
      </c>
      <c r="BA210">
        <v>10000</v>
      </c>
      <c r="BB210" s="1">
        <v>44951</v>
      </c>
    </row>
    <row r="211" spans="1:54" x14ac:dyDescent="0.25">
      <c r="A211">
        <v>2023</v>
      </c>
      <c r="B211">
        <v>56</v>
      </c>
      <c r="C211" s="1">
        <v>44951</v>
      </c>
      <c r="D211">
        <v>2023</v>
      </c>
      <c r="E211">
        <v>2022</v>
      </c>
      <c r="F211">
        <v>583</v>
      </c>
      <c r="H211" t="s">
        <v>247</v>
      </c>
      <c r="I211">
        <v>109</v>
      </c>
      <c r="J211">
        <v>0</v>
      </c>
      <c r="K211" t="s">
        <v>159</v>
      </c>
      <c r="R211" t="s">
        <v>248</v>
      </c>
      <c r="S211" t="str">
        <f t="shared" si="18"/>
        <v>30</v>
      </c>
      <c r="T211" t="s">
        <v>78</v>
      </c>
      <c r="W211" t="s">
        <v>249</v>
      </c>
      <c r="Y211">
        <v>4542</v>
      </c>
      <c r="Z211" t="s">
        <v>250</v>
      </c>
      <c r="AB211" t="str">
        <f>"04300830272"</f>
        <v>04300830272</v>
      </c>
      <c r="AC211" t="s">
        <v>116</v>
      </c>
      <c r="AD211" t="s">
        <v>251</v>
      </c>
      <c r="AF211">
        <v>2022</v>
      </c>
      <c r="AG211">
        <v>3999</v>
      </c>
      <c r="AH211" t="str">
        <f>"1"</f>
        <v>1</v>
      </c>
      <c r="AI211" t="str">
        <f>"1344"</f>
        <v>1344</v>
      </c>
      <c r="AJ211" s="1">
        <v>44916</v>
      </c>
      <c r="AK211" t="s">
        <v>249</v>
      </c>
      <c r="AL211">
        <v>427</v>
      </c>
      <c r="AM211" t="str">
        <f>"8684643900"</f>
        <v>8684643900</v>
      </c>
      <c r="AN211">
        <v>2023</v>
      </c>
      <c r="AO211">
        <v>21</v>
      </c>
      <c r="AP211">
        <v>427</v>
      </c>
      <c r="AQ211">
        <v>0</v>
      </c>
      <c r="AR211">
        <v>77</v>
      </c>
      <c r="AS211" t="s">
        <v>177</v>
      </c>
      <c r="AT211">
        <v>350</v>
      </c>
      <c r="AU211">
        <v>77</v>
      </c>
      <c r="AV211">
        <v>2023</v>
      </c>
      <c r="AW211">
        <v>26</v>
      </c>
      <c r="AX211">
        <v>670</v>
      </c>
      <c r="AY211">
        <v>0</v>
      </c>
      <c r="AZ211" t="s">
        <v>252</v>
      </c>
      <c r="BA211">
        <v>427</v>
      </c>
      <c r="BB211" s="1">
        <v>44951</v>
      </c>
    </row>
    <row r="212" spans="1:54" x14ac:dyDescent="0.25">
      <c r="A212">
        <v>2023</v>
      </c>
      <c r="B212">
        <v>57</v>
      </c>
      <c r="C212" s="1">
        <v>44951</v>
      </c>
      <c r="D212">
        <v>2023</v>
      </c>
      <c r="E212">
        <v>2021</v>
      </c>
      <c r="F212">
        <v>755</v>
      </c>
      <c r="H212" t="s">
        <v>253</v>
      </c>
      <c r="I212">
        <v>109</v>
      </c>
      <c r="J212">
        <v>0</v>
      </c>
      <c r="K212" t="s">
        <v>159</v>
      </c>
      <c r="R212" t="s">
        <v>254</v>
      </c>
      <c r="S212" t="str">
        <f t="shared" si="18"/>
        <v>30</v>
      </c>
      <c r="T212" t="s">
        <v>78</v>
      </c>
      <c r="W212" t="s">
        <v>255</v>
      </c>
      <c r="Y212">
        <v>4596</v>
      </c>
      <c r="Z212" t="s">
        <v>256</v>
      </c>
      <c r="AA212" t="s">
        <v>257</v>
      </c>
      <c r="AB212" t="s">
        <v>258</v>
      </c>
      <c r="AC212" t="s">
        <v>116</v>
      </c>
      <c r="AD212" t="s">
        <v>259</v>
      </c>
      <c r="AF212">
        <v>2022</v>
      </c>
      <c r="AG212">
        <v>4037</v>
      </c>
      <c r="AH212" t="str">
        <f>"1"</f>
        <v>1</v>
      </c>
      <c r="AI212" t="str">
        <f>"13"</f>
        <v>13</v>
      </c>
      <c r="AJ212" s="1">
        <v>44925</v>
      </c>
      <c r="AK212" t="s">
        <v>255</v>
      </c>
      <c r="AL212" s="2">
        <v>4680</v>
      </c>
      <c r="AM212" t="str">
        <f>"8743026225"</f>
        <v>8743026225</v>
      </c>
      <c r="AN212">
        <v>2023</v>
      </c>
      <c r="AO212">
        <v>22</v>
      </c>
      <c r="AP212" s="2">
        <v>4680</v>
      </c>
      <c r="AQ212">
        <v>0</v>
      </c>
      <c r="AR212">
        <v>0</v>
      </c>
      <c r="BA212">
        <v>4680</v>
      </c>
      <c r="BB212" s="1">
        <v>44951</v>
      </c>
    </row>
    <row r="213" spans="1:54" x14ac:dyDescent="0.25">
      <c r="A213">
        <v>2023</v>
      </c>
      <c r="B213">
        <v>58</v>
      </c>
      <c r="C213" s="1">
        <v>44951</v>
      </c>
      <c r="D213">
        <v>2023</v>
      </c>
      <c r="E213">
        <v>2022</v>
      </c>
      <c r="F213">
        <v>685</v>
      </c>
      <c r="H213" t="s">
        <v>260</v>
      </c>
      <c r="I213">
        <v>140</v>
      </c>
      <c r="J213">
        <v>0</v>
      </c>
      <c r="K213" t="s">
        <v>261</v>
      </c>
      <c r="R213" t="s">
        <v>262</v>
      </c>
      <c r="S213" t="str">
        <f t="shared" si="18"/>
        <v>30</v>
      </c>
      <c r="T213" t="s">
        <v>78</v>
      </c>
      <c r="W213" t="s">
        <v>263</v>
      </c>
      <c r="Y213">
        <v>3478</v>
      </c>
      <c r="Z213" t="s">
        <v>264</v>
      </c>
      <c r="AB213" t="s">
        <v>265</v>
      </c>
      <c r="AC213" t="s">
        <v>116</v>
      </c>
      <c r="AD213" t="s">
        <v>266</v>
      </c>
      <c r="AF213">
        <v>2022</v>
      </c>
      <c r="AG213">
        <v>4057</v>
      </c>
      <c r="AH213" t="str">
        <f>"1"</f>
        <v>1</v>
      </c>
      <c r="AI213" t="s">
        <v>267</v>
      </c>
      <c r="AJ213" s="1">
        <v>44910</v>
      </c>
      <c r="AK213" t="s">
        <v>263</v>
      </c>
      <c r="AL213" s="2">
        <v>4076.8</v>
      </c>
      <c r="AN213">
        <v>2023</v>
      </c>
      <c r="AO213">
        <v>6</v>
      </c>
      <c r="AP213" s="2">
        <v>4076.8</v>
      </c>
      <c r="AQ213">
        <v>0</v>
      </c>
      <c r="AR213">
        <v>602.9</v>
      </c>
      <c r="AS213" t="str">
        <f>"1040"</f>
        <v>1040</v>
      </c>
      <c r="AT213">
        <v>3014.5</v>
      </c>
      <c r="AU213">
        <v>602.9</v>
      </c>
      <c r="AV213">
        <v>2023</v>
      </c>
      <c r="AW213">
        <v>27</v>
      </c>
      <c r="AX213">
        <v>620</v>
      </c>
      <c r="AY213">
        <v>0</v>
      </c>
      <c r="AZ213" t="s">
        <v>268</v>
      </c>
      <c r="BA213">
        <v>4076.8</v>
      </c>
      <c r="BB213" s="1">
        <v>44951</v>
      </c>
    </row>
    <row r="214" spans="1:54" x14ac:dyDescent="0.25">
      <c r="A214">
        <v>2023</v>
      </c>
      <c r="B214">
        <v>59</v>
      </c>
      <c r="C214" s="1">
        <v>44952</v>
      </c>
      <c r="D214">
        <v>2023</v>
      </c>
      <c r="E214">
        <v>2022</v>
      </c>
      <c r="F214">
        <v>698</v>
      </c>
      <c r="H214" t="s">
        <v>269</v>
      </c>
      <c r="I214">
        <v>140</v>
      </c>
      <c r="J214">
        <v>0</v>
      </c>
      <c r="K214" t="s">
        <v>261</v>
      </c>
      <c r="R214" t="s">
        <v>270</v>
      </c>
      <c r="S214" t="str">
        <f t="shared" si="18"/>
        <v>30</v>
      </c>
      <c r="T214" t="s">
        <v>78</v>
      </c>
      <c r="W214" t="s">
        <v>271</v>
      </c>
      <c r="Y214">
        <v>3470</v>
      </c>
      <c r="Z214" t="s">
        <v>272</v>
      </c>
      <c r="AB214" t="s">
        <v>273</v>
      </c>
      <c r="AC214" t="s">
        <v>116</v>
      </c>
      <c r="AD214" t="s">
        <v>274</v>
      </c>
      <c r="AF214">
        <v>2023</v>
      </c>
      <c r="AG214">
        <v>44</v>
      </c>
      <c r="AH214" t="str">
        <f>"7"</f>
        <v>7</v>
      </c>
      <c r="AI214" t="s">
        <v>267</v>
      </c>
      <c r="AJ214" s="1">
        <v>44922</v>
      </c>
      <c r="AK214" t="s">
        <v>271</v>
      </c>
      <c r="AL214" s="2">
        <v>28992.71</v>
      </c>
      <c r="AN214">
        <v>2023</v>
      </c>
      <c r="AO214">
        <v>45</v>
      </c>
      <c r="AP214" s="2">
        <v>28992.71</v>
      </c>
      <c r="AQ214">
        <v>0</v>
      </c>
      <c r="AR214" s="2">
        <v>4570.1000000000004</v>
      </c>
      <c r="AS214" t="str">
        <f>"1040"</f>
        <v>1040</v>
      </c>
      <c r="AT214">
        <v>22850.5</v>
      </c>
      <c r="AU214">
        <v>4570.1000000000004</v>
      </c>
      <c r="AV214">
        <v>2023</v>
      </c>
      <c r="AW214">
        <v>28</v>
      </c>
      <c r="AX214">
        <v>620</v>
      </c>
      <c r="AY214">
        <v>0</v>
      </c>
      <c r="AZ214" t="s">
        <v>275</v>
      </c>
      <c r="BA214">
        <v>28992.71</v>
      </c>
      <c r="BB214" s="1">
        <v>44952</v>
      </c>
    </row>
    <row r="215" spans="1:54" x14ac:dyDescent="0.25">
      <c r="A215">
        <v>2023</v>
      </c>
      <c r="B215">
        <v>60</v>
      </c>
      <c r="C215" s="1">
        <v>44952</v>
      </c>
      <c r="D215">
        <v>2023</v>
      </c>
      <c r="E215">
        <v>2022</v>
      </c>
      <c r="F215">
        <v>686</v>
      </c>
      <c r="H215" t="s">
        <v>276</v>
      </c>
      <c r="I215">
        <v>149</v>
      </c>
      <c r="J215">
        <v>0</v>
      </c>
      <c r="K215" t="s">
        <v>277</v>
      </c>
      <c r="R215" t="s">
        <v>278</v>
      </c>
      <c r="S215" t="str">
        <f t="shared" si="18"/>
        <v>30</v>
      </c>
      <c r="T215" t="s">
        <v>78</v>
      </c>
      <c r="W215" t="s">
        <v>279</v>
      </c>
      <c r="Y215">
        <v>3722</v>
      </c>
      <c r="Z215" t="s">
        <v>280</v>
      </c>
      <c r="AB215" t="str">
        <f>"03827000260"</f>
        <v>03827000260</v>
      </c>
      <c r="AC215" t="s">
        <v>116</v>
      </c>
      <c r="AD215" t="s">
        <v>281</v>
      </c>
      <c r="AF215">
        <v>2023</v>
      </c>
      <c r="AG215">
        <v>24</v>
      </c>
      <c r="AH215" t="str">
        <f t="shared" ref="AH215:AH227" si="19">"1"</f>
        <v>1</v>
      </c>
      <c r="AI215" s="3" t="s">
        <v>282</v>
      </c>
      <c r="AJ215" s="1">
        <v>44928</v>
      </c>
      <c r="AK215" t="s">
        <v>279</v>
      </c>
      <c r="AL215" s="2">
        <v>2050.83</v>
      </c>
      <c r="AM215" t="str">
        <f>"8803528619"</f>
        <v>8803528619</v>
      </c>
      <c r="AN215">
        <v>2023</v>
      </c>
      <c r="AO215">
        <v>11</v>
      </c>
      <c r="AP215" s="2">
        <v>2050.83</v>
      </c>
      <c r="AQ215">
        <v>0</v>
      </c>
      <c r="AR215">
        <v>369.82</v>
      </c>
      <c r="AS215" t="s">
        <v>177</v>
      </c>
      <c r="AT215">
        <v>1681</v>
      </c>
      <c r="AU215">
        <v>369.82</v>
      </c>
      <c r="AV215">
        <v>2023</v>
      </c>
      <c r="AW215">
        <v>29</v>
      </c>
      <c r="AX215">
        <v>670</v>
      </c>
      <c r="AY215">
        <v>0</v>
      </c>
      <c r="AZ215" t="s">
        <v>283</v>
      </c>
      <c r="BA215">
        <v>2050.83</v>
      </c>
      <c r="BB215" s="1">
        <v>44952</v>
      </c>
    </row>
    <row r="216" spans="1:54" x14ac:dyDescent="0.25">
      <c r="A216">
        <v>2023</v>
      </c>
      <c r="B216">
        <v>61</v>
      </c>
      <c r="C216" s="1">
        <v>44952</v>
      </c>
      <c r="D216">
        <v>2023</v>
      </c>
      <c r="E216">
        <v>2022</v>
      </c>
      <c r="F216">
        <v>528</v>
      </c>
      <c r="H216" t="s">
        <v>284</v>
      </c>
      <c r="I216">
        <v>220</v>
      </c>
      <c r="J216">
        <v>0</v>
      </c>
      <c r="K216" t="s">
        <v>285</v>
      </c>
      <c r="R216" t="s">
        <v>286</v>
      </c>
      <c r="W216" t="s">
        <v>287</v>
      </c>
      <c r="Y216">
        <v>1514</v>
      </c>
      <c r="Z216" t="s">
        <v>288</v>
      </c>
      <c r="AB216" t="str">
        <f>"02293180242"</f>
        <v>02293180242</v>
      </c>
      <c r="AC216" t="s">
        <v>116</v>
      </c>
      <c r="AD216" t="s">
        <v>289</v>
      </c>
      <c r="AF216">
        <v>2022</v>
      </c>
      <c r="AG216">
        <v>3634</v>
      </c>
      <c r="AH216" t="str">
        <f t="shared" si="19"/>
        <v>1</v>
      </c>
      <c r="AI216" t="s">
        <v>290</v>
      </c>
      <c r="AJ216" s="1">
        <v>44882</v>
      </c>
      <c r="AK216" t="s">
        <v>287</v>
      </c>
      <c r="AL216" s="2">
        <v>72712</v>
      </c>
      <c r="AM216" t="str">
        <f>"8501566447"</f>
        <v>8501566447</v>
      </c>
      <c r="AN216">
        <v>2023</v>
      </c>
      <c r="AO216">
        <v>46</v>
      </c>
      <c r="AP216" s="2">
        <v>72712</v>
      </c>
      <c r="AQ216">
        <v>0</v>
      </c>
      <c r="AR216" s="2">
        <v>13112</v>
      </c>
      <c r="AS216" t="s">
        <v>177</v>
      </c>
      <c r="AT216">
        <v>59600</v>
      </c>
      <c r="AU216">
        <v>13112</v>
      </c>
      <c r="AV216">
        <v>2023</v>
      </c>
      <c r="AW216">
        <v>30</v>
      </c>
      <c r="AX216">
        <v>670</v>
      </c>
      <c r="AY216">
        <v>0</v>
      </c>
      <c r="AZ216" t="s">
        <v>291</v>
      </c>
      <c r="BA216">
        <v>72712</v>
      </c>
      <c r="BB216" s="1">
        <v>44952</v>
      </c>
    </row>
    <row r="217" spans="1:54" x14ac:dyDescent="0.25">
      <c r="A217">
        <v>2023</v>
      </c>
      <c r="B217">
        <v>62</v>
      </c>
      <c r="C217" s="1">
        <v>44952</v>
      </c>
      <c r="D217">
        <v>2023</v>
      </c>
      <c r="E217">
        <v>2022</v>
      </c>
      <c r="F217">
        <v>673</v>
      </c>
      <c r="H217" t="s">
        <v>292</v>
      </c>
      <c r="I217">
        <v>200</v>
      </c>
      <c r="J217">
        <v>0</v>
      </c>
      <c r="K217" t="s">
        <v>293</v>
      </c>
      <c r="R217" t="s">
        <v>294</v>
      </c>
      <c r="S217" t="str">
        <f t="shared" ref="S217:S222" si="20">"31"</f>
        <v>31</v>
      </c>
      <c r="T217" t="s">
        <v>122</v>
      </c>
      <c r="W217" t="s">
        <v>295</v>
      </c>
      <c r="Y217">
        <v>1025</v>
      </c>
      <c r="Z217" t="s">
        <v>296</v>
      </c>
      <c r="AB217" t="str">
        <f>"08411140588"</f>
        <v>08411140588</v>
      </c>
      <c r="AC217" t="s">
        <v>116</v>
      </c>
      <c r="AD217" t="s">
        <v>297</v>
      </c>
      <c r="AF217">
        <v>2022</v>
      </c>
      <c r="AG217">
        <v>3624</v>
      </c>
      <c r="AH217" t="str">
        <f t="shared" si="19"/>
        <v>1</v>
      </c>
      <c r="AI217" t="s">
        <v>298</v>
      </c>
      <c r="AJ217" s="1">
        <v>44883</v>
      </c>
      <c r="AK217" t="s">
        <v>295</v>
      </c>
      <c r="AL217">
        <v>288.7</v>
      </c>
      <c r="AM217" t="str">
        <f>"8475115332"</f>
        <v>8475115332</v>
      </c>
      <c r="AN217">
        <v>2023</v>
      </c>
      <c r="AO217">
        <v>7</v>
      </c>
      <c r="AP217">
        <v>288.7</v>
      </c>
      <c r="AQ217">
        <v>0</v>
      </c>
      <c r="AR217">
        <v>52.06</v>
      </c>
      <c r="AS217" t="s">
        <v>177</v>
      </c>
      <c r="AT217">
        <v>236.64</v>
      </c>
      <c r="AU217">
        <v>52.06</v>
      </c>
      <c r="AV217">
        <v>2023</v>
      </c>
      <c r="AW217">
        <v>31</v>
      </c>
      <c r="AX217">
        <v>670</v>
      </c>
      <c r="AY217">
        <v>0</v>
      </c>
      <c r="AZ217" t="s">
        <v>299</v>
      </c>
      <c r="BA217">
        <v>288.7</v>
      </c>
      <c r="BB217" s="1">
        <v>44952</v>
      </c>
    </row>
    <row r="218" spans="1:54" x14ac:dyDescent="0.25">
      <c r="A218">
        <v>2023</v>
      </c>
      <c r="B218">
        <v>63</v>
      </c>
      <c r="C218" s="1">
        <v>44952</v>
      </c>
      <c r="D218">
        <v>2023</v>
      </c>
      <c r="E218">
        <v>2022</v>
      </c>
      <c r="F218">
        <v>673</v>
      </c>
      <c r="H218" t="s">
        <v>292</v>
      </c>
      <c r="I218">
        <v>200</v>
      </c>
      <c r="J218">
        <v>0</v>
      </c>
      <c r="K218" t="s">
        <v>293</v>
      </c>
      <c r="R218" t="str">
        <f>"8204479640"</f>
        <v>8204479640</v>
      </c>
      <c r="S218" t="str">
        <f t="shared" si="20"/>
        <v>31</v>
      </c>
      <c r="T218" t="s">
        <v>122</v>
      </c>
      <c r="W218" t="s">
        <v>300</v>
      </c>
      <c r="Y218">
        <v>3028</v>
      </c>
      <c r="Z218" t="s">
        <v>301</v>
      </c>
      <c r="AB218" t="str">
        <f>"03235660275"</f>
        <v>03235660275</v>
      </c>
      <c r="AC218" t="s">
        <v>116</v>
      </c>
      <c r="AD218" t="s">
        <v>302</v>
      </c>
      <c r="AF218">
        <v>2022</v>
      </c>
      <c r="AG218">
        <v>3281</v>
      </c>
      <c r="AH218" t="str">
        <f t="shared" si="19"/>
        <v>1</v>
      </c>
      <c r="AI218" t="s">
        <v>303</v>
      </c>
      <c r="AJ218" s="1">
        <v>44865</v>
      </c>
      <c r="AK218" t="s">
        <v>300</v>
      </c>
      <c r="AL218" s="2">
        <v>3781.98</v>
      </c>
      <c r="AM218" t="str">
        <f>"8358515457"</f>
        <v>8358515457</v>
      </c>
      <c r="AN218">
        <v>2023</v>
      </c>
      <c r="AO218">
        <v>8</v>
      </c>
      <c r="AP218" s="2">
        <v>3781.98</v>
      </c>
      <c r="AQ218">
        <v>0</v>
      </c>
      <c r="AR218">
        <v>682</v>
      </c>
      <c r="AS218" t="s">
        <v>177</v>
      </c>
      <c r="AT218">
        <v>3099.98</v>
      </c>
      <c r="AU218">
        <v>682</v>
      </c>
      <c r="AV218">
        <v>2023</v>
      </c>
      <c r="AW218">
        <v>32</v>
      </c>
      <c r="AX218">
        <v>670</v>
      </c>
      <c r="AY218">
        <v>0</v>
      </c>
      <c r="AZ218" t="s">
        <v>304</v>
      </c>
      <c r="BA218">
        <v>3781.98</v>
      </c>
      <c r="BB218" s="1">
        <v>44952</v>
      </c>
    </row>
    <row r="219" spans="1:54" x14ac:dyDescent="0.25">
      <c r="A219">
        <v>2023</v>
      </c>
      <c r="B219">
        <v>64</v>
      </c>
      <c r="C219" s="1">
        <v>44952</v>
      </c>
      <c r="D219">
        <v>2023</v>
      </c>
      <c r="E219">
        <v>2018</v>
      </c>
      <c r="F219">
        <v>626</v>
      </c>
      <c r="H219" t="s">
        <v>305</v>
      </c>
      <c r="I219">
        <v>250</v>
      </c>
      <c r="J219">
        <v>0</v>
      </c>
      <c r="K219" t="s">
        <v>306</v>
      </c>
      <c r="R219" t="s">
        <v>307</v>
      </c>
      <c r="S219" t="str">
        <f t="shared" si="20"/>
        <v>31</v>
      </c>
      <c r="T219" t="s">
        <v>122</v>
      </c>
      <c r="W219" t="s">
        <v>305</v>
      </c>
      <c r="Y219">
        <v>2218</v>
      </c>
      <c r="Z219" t="s">
        <v>308</v>
      </c>
      <c r="AB219" t="str">
        <f>"03914260264"</f>
        <v>03914260264</v>
      </c>
      <c r="AC219" t="s">
        <v>116</v>
      </c>
      <c r="AD219" t="s">
        <v>309</v>
      </c>
      <c r="AF219">
        <v>2020</v>
      </c>
      <c r="AG219">
        <v>368</v>
      </c>
      <c r="AH219" t="str">
        <f t="shared" si="19"/>
        <v>1</v>
      </c>
      <c r="AI219" t="str">
        <f>"4"</f>
        <v>4</v>
      </c>
      <c r="AJ219" s="1">
        <v>43882</v>
      </c>
      <c r="AK219" t="s">
        <v>305</v>
      </c>
      <c r="AL219" s="2">
        <v>17334.490000000002</v>
      </c>
      <c r="AM219" t="str">
        <f>"2559275533"</f>
        <v>2559275533</v>
      </c>
      <c r="AN219">
        <v>2023</v>
      </c>
      <c r="AO219">
        <v>9</v>
      </c>
      <c r="AP219" s="2">
        <v>17334.490000000002</v>
      </c>
      <c r="AQ219">
        <v>0</v>
      </c>
      <c r="AR219" s="2">
        <v>3125.89</v>
      </c>
      <c r="AS219" t="s">
        <v>177</v>
      </c>
      <c r="AT219">
        <v>14208.6</v>
      </c>
      <c r="AU219">
        <v>3125.89</v>
      </c>
      <c r="AV219">
        <v>2023</v>
      </c>
      <c r="AW219">
        <v>33</v>
      </c>
      <c r="AX219">
        <v>670</v>
      </c>
      <c r="AY219">
        <v>0</v>
      </c>
      <c r="AZ219" t="s">
        <v>310</v>
      </c>
      <c r="BA219">
        <v>17334.490000000002</v>
      </c>
      <c r="BB219" s="1">
        <v>44952</v>
      </c>
    </row>
    <row r="220" spans="1:54" x14ac:dyDescent="0.25">
      <c r="A220">
        <v>2023</v>
      </c>
      <c r="B220">
        <v>65</v>
      </c>
      <c r="C220" s="1">
        <v>44952</v>
      </c>
      <c r="D220">
        <v>2023</v>
      </c>
      <c r="E220">
        <v>2022</v>
      </c>
      <c r="F220">
        <v>586</v>
      </c>
      <c r="H220" t="s">
        <v>311</v>
      </c>
      <c r="I220">
        <v>120</v>
      </c>
      <c r="J220">
        <v>0</v>
      </c>
      <c r="K220" t="s">
        <v>120</v>
      </c>
      <c r="R220" t="s">
        <v>312</v>
      </c>
      <c r="S220" t="str">
        <f t="shared" si="20"/>
        <v>31</v>
      </c>
      <c r="T220" t="s">
        <v>122</v>
      </c>
      <c r="W220" t="s">
        <v>313</v>
      </c>
      <c r="Y220">
        <v>4319</v>
      </c>
      <c r="Z220" t="s">
        <v>314</v>
      </c>
      <c r="AB220" t="str">
        <f>"02799730243"</f>
        <v>02799730243</v>
      </c>
      <c r="AC220" t="s">
        <v>116</v>
      </c>
      <c r="AD220" t="s">
        <v>315</v>
      </c>
      <c r="AF220">
        <v>2022</v>
      </c>
      <c r="AG220">
        <v>3682</v>
      </c>
      <c r="AH220" t="str">
        <f t="shared" si="19"/>
        <v>1</v>
      </c>
      <c r="AI220" t="s">
        <v>316</v>
      </c>
      <c r="AJ220" s="1">
        <v>44894</v>
      </c>
      <c r="AK220" t="s">
        <v>313</v>
      </c>
      <c r="AL220" s="2">
        <v>3396.48</v>
      </c>
      <c r="AM220" t="str">
        <f>"8532646191"</f>
        <v>8532646191</v>
      </c>
      <c r="AN220">
        <v>2023</v>
      </c>
      <c r="AO220">
        <v>13</v>
      </c>
      <c r="AP220" s="2">
        <v>3396.48</v>
      </c>
      <c r="AQ220">
        <v>0</v>
      </c>
      <c r="AR220">
        <v>612.48</v>
      </c>
      <c r="AS220" t="s">
        <v>177</v>
      </c>
      <c r="AT220">
        <v>2784</v>
      </c>
      <c r="AU220">
        <v>612.48</v>
      </c>
      <c r="AV220">
        <v>2023</v>
      </c>
      <c r="AW220">
        <v>34</v>
      </c>
      <c r="AX220">
        <v>670</v>
      </c>
      <c r="AY220">
        <v>0</v>
      </c>
      <c r="AZ220" t="s">
        <v>317</v>
      </c>
      <c r="BA220">
        <v>3396.48</v>
      </c>
      <c r="BB220" s="1">
        <v>44952</v>
      </c>
    </row>
    <row r="221" spans="1:54" x14ac:dyDescent="0.25">
      <c r="A221">
        <v>2023</v>
      </c>
      <c r="B221">
        <v>66</v>
      </c>
      <c r="C221" s="1">
        <v>44952</v>
      </c>
      <c r="D221">
        <v>2023</v>
      </c>
      <c r="E221">
        <v>2022</v>
      </c>
      <c r="F221">
        <v>84</v>
      </c>
      <c r="H221" t="s">
        <v>318</v>
      </c>
      <c r="I221">
        <v>149</v>
      </c>
      <c r="J221">
        <v>0</v>
      </c>
      <c r="K221" t="s">
        <v>277</v>
      </c>
      <c r="R221" t="s">
        <v>319</v>
      </c>
      <c r="S221" t="str">
        <f t="shared" si="20"/>
        <v>31</v>
      </c>
      <c r="T221" t="s">
        <v>122</v>
      </c>
      <c r="W221" t="s">
        <v>320</v>
      </c>
      <c r="Y221">
        <v>3295</v>
      </c>
      <c r="Z221" t="s">
        <v>321</v>
      </c>
      <c r="AB221" t="str">
        <f>"04362060271"</f>
        <v>04362060271</v>
      </c>
      <c r="AC221" t="s">
        <v>116</v>
      </c>
      <c r="AD221" t="s">
        <v>322</v>
      </c>
      <c r="AF221">
        <v>2022</v>
      </c>
      <c r="AG221">
        <v>3679</v>
      </c>
      <c r="AH221" t="str">
        <f t="shared" si="19"/>
        <v>1</v>
      </c>
      <c r="AI221" t="str">
        <f>"110"</f>
        <v>110</v>
      </c>
      <c r="AJ221" s="1">
        <v>44890</v>
      </c>
      <c r="AK221" t="s">
        <v>320</v>
      </c>
      <c r="AL221" s="2">
        <v>3705.14</v>
      </c>
      <c r="AM221" t="str">
        <f>"8529938248"</f>
        <v>8529938248</v>
      </c>
      <c r="AN221">
        <v>2023</v>
      </c>
      <c r="AO221">
        <v>12</v>
      </c>
      <c r="AP221" s="2">
        <v>3705.14</v>
      </c>
      <c r="AQ221">
        <v>0</v>
      </c>
      <c r="AR221">
        <v>668.14</v>
      </c>
      <c r="AS221" t="s">
        <v>177</v>
      </c>
      <c r="AT221">
        <v>3037</v>
      </c>
      <c r="AU221">
        <v>668.14</v>
      </c>
      <c r="AV221">
        <v>2023</v>
      </c>
      <c r="AW221">
        <v>35</v>
      </c>
      <c r="AX221">
        <v>670</v>
      </c>
      <c r="AY221">
        <v>0</v>
      </c>
      <c r="AZ221" t="s">
        <v>323</v>
      </c>
      <c r="BA221">
        <v>3705.14</v>
      </c>
      <c r="BB221" s="1">
        <v>44952</v>
      </c>
    </row>
    <row r="222" spans="1:54" x14ac:dyDescent="0.25">
      <c r="A222">
        <v>2023</v>
      </c>
      <c r="B222">
        <v>67</v>
      </c>
      <c r="C222" s="1">
        <v>44952</v>
      </c>
      <c r="D222">
        <v>2023</v>
      </c>
      <c r="E222">
        <v>2022</v>
      </c>
      <c r="F222">
        <v>613</v>
      </c>
      <c r="H222" t="s">
        <v>324</v>
      </c>
      <c r="I222">
        <v>265</v>
      </c>
      <c r="J222">
        <v>0</v>
      </c>
      <c r="K222" t="s">
        <v>325</v>
      </c>
      <c r="R222" t="s">
        <v>326</v>
      </c>
      <c r="S222" t="str">
        <f t="shared" si="20"/>
        <v>31</v>
      </c>
      <c r="T222" t="s">
        <v>122</v>
      </c>
      <c r="W222" t="s">
        <v>327</v>
      </c>
      <c r="Y222">
        <v>1822</v>
      </c>
      <c r="Z222" t="s">
        <v>328</v>
      </c>
      <c r="AB222" t="str">
        <f>"02987890270"</f>
        <v>02987890270</v>
      </c>
      <c r="AC222" t="s">
        <v>116</v>
      </c>
      <c r="AD222" t="s">
        <v>329</v>
      </c>
      <c r="AF222">
        <v>2022</v>
      </c>
      <c r="AG222">
        <v>3702</v>
      </c>
      <c r="AH222" t="str">
        <f t="shared" si="19"/>
        <v>1</v>
      </c>
      <c r="AI222" t="s">
        <v>330</v>
      </c>
      <c r="AJ222" s="1">
        <v>44894</v>
      </c>
      <c r="AK222" t="s">
        <v>327</v>
      </c>
      <c r="AL222" s="2">
        <v>2095.5100000000002</v>
      </c>
      <c r="AM222" t="str">
        <f>"8556260293"</f>
        <v>8556260293</v>
      </c>
      <c r="AN222">
        <v>2023</v>
      </c>
      <c r="AO222">
        <v>15</v>
      </c>
      <c r="AP222" s="2">
        <v>2095.5100000000002</v>
      </c>
      <c r="AQ222">
        <v>0</v>
      </c>
      <c r="AR222">
        <v>377.88</v>
      </c>
      <c r="AS222" t="s">
        <v>177</v>
      </c>
      <c r="AT222">
        <v>1717.63</v>
      </c>
      <c r="AU222">
        <v>377.88</v>
      </c>
      <c r="AV222">
        <v>2023</v>
      </c>
      <c r="AW222">
        <v>36</v>
      </c>
      <c r="AX222">
        <v>670</v>
      </c>
      <c r="AY222">
        <v>0</v>
      </c>
      <c r="AZ222" t="s">
        <v>331</v>
      </c>
      <c r="BA222">
        <v>2095.5100000000002</v>
      </c>
      <c r="BB222" s="1">
        <v>44952</v>
      </c>
    </row>
    <row r="223" spans="1:54" x14ac:dyDescent="0.25">
      <c r="A223">
        <v>2023</v>
      </c>
      <c r="B223">
        <v>68</v>
      </c>
      <c r="C223" s="1">
        <v>44952</v>
      </c>
      <c r="D223">
        <v>2023</v>
      </c>
      <c r="E223">
        <v>2022</v>
      </c>
      <c r="F223">
        <v>462</v>
      </c>
      <c r="H223" t="s">
        <v>332</v>
      </c>
      <c r="I223">
        <v>149</v>
      </c>
      <c r="J223">
        <v>0</v>
      </c>
      <c r="K223" t="s">
        <v>277</v>
      </c>
      <c r="R223" t="str">
        <f>"9291037647"</f>
        <v>9291037647</v>
      </c>
      <c r="S223" t="str">
        <f>"30"</f>
        <v>30</v>
      </c>
      <c r="T223" t="s">
        <v>78</v>
      </c>
      <c r="W223" t="s">
        <v>333</v>
      </c>
      <c r="Y223">
        <v>4545</v>
      </c>
      <c r="Z223" t="s">
        <v>334</v>
      </c>
      <c r="AB223" t="str">
        <f>"04655220277"</f>
        <v>04655220277</v>
      </c>
      <c r="AC223" t="s">
        <v>116</v>
      </c>
      <c r="AD223" t="s">
        <v>335</v>
      </c>
      <c r="AF223">
        <v>2022</v>
      </c>
      <c r="AG223">
        <v>4000</v>
      </c>
      <c r="AH223" t="str">
        <f t="shared" si="19"/>
        <v>1</v>
      </c>
      <c r="AI223" t="s">
        <v>336</v>
      </c>
      <c r="AJ223" s="1">
        <v>44924</v>
      </c>
      <c r="AK223" t="s">
        <v>333</v>
      </c>
      <c r="AL223" s="2">
        <v>3640.33</v>
      </c>
      <c r="AM223" t="str">
        <f>"8733344123"</f>
        <v>8733344123</v>
      </c>
      <c r="AN223">
        <v>2023</v>
      </c>
      <c r="AO223">
        <v>23</v>
      </c>
      <c r="AP223" s="2">
        <v>3640.33</v>
      </c>
      <c r="AQ223">
        <v>0</v>
      </c>
      <c r="AR223">
        <v>656.45</v>
      </c>
      <c r="AS223" t="s">
        <v>177</v>
      </c>
      <c r="AT223">
        <v>2983.88</v>
      </c>
      <c r="AU223">
        <v>656.45</v>
      </c>
      <c r="AV223">
        <v>2023</v>
      </c>
      <c r="AW223">
        <v>37</v>
      </c>
      <c r="AX223">
        <v>670</v>
      </c>
      <c r="AY223">
        <v>0</v>
      </c>
      <c r="AZ223" t="s">
        <v>337</v>
      </c>
      <c r="BA223">
        <v>3640.33</v>
      </c>
      <c r="BB223" s="1">
        <v>44952</v>
      </c>
    </row>
    <row r="224" spans="1:54" x14ac:dyDescent="0.25">
      <c r="A224">
        <v>2023</v>
      </c>
      <c r="B224">
        <v>69</v>
      </c>
      <c r="C224" s="1">
        <v>44953</v>
      </c>
      <c r="D224">
        <v>2023</v>
      </c>
      <c r="E224">
        <v>2022</v>
      </c>
      <c r="F224">
        <v>19</v>
      </c>
      <c r="H224" t="s">
        <v>338</v>
      </c>
      <c r="I224">
        <v>119</v>
      </c>
      <c r="J224">
        <v>0</v>
      </c>
      <c r="K224" t="s">
        <v>137</v>
      </c>
      <c r="R224" t="str">
        <f>"8768590560"</f>
        <v>8768590560</v>
      </c>
      <c r="S224" t="str">
        <f>"30"</f>
        <v>30</v>
      </c>
      <c r="T224" t="s">
        <v>78</v>
      </c>
      <c r="W224" t="s">
        <v>339</v>
      </c>
      <c r="Y224">
        <v>3020</v>
      </c>
      <c r="Z224" t="s">
        <v>340</v>
      </c>
      <c r="AB224" t="str">
        <f>"01014660417"</f>
        <v>01014660417</v>
      </c>
      <c r="AC224" t="s">
        <v>116</v>
      </c>
      <c r="AD224" t="s">
        <v>341</v>
      </c>
      <c r="AF224">
        <v>2023</v>
      </c>
      <c r="AG224">
        <v>3</v>
      </c>
      <c r="AH224" t="str">
        <f t="shared" si="19"/>
        <v>1</v>
      </c>
      <c r="AI224" t="s">
        <v>342</v>
      </c>
      <c r="AJ224" s="1">
        <v>44926</v>
      </c>
      <c r="AK224" t="s">
        <v>343</v>
      </c>
      <c r="AL224" s="2">
        <v>9673.93</v>
      </c>
      <c r="AM224" t="str">
        <f>"8773336337"</f>
        <v>8773336337</v>
      </c>
      <c r="AN224">
        <v>2023</v>
      </c>
      <c r="AO224">
        <v>42</v>
      </c>
      <c r="AP224" s="2">
        <v>7601.04</v>
      </c>
      <c r="AQ224">
        <v>0</v>
      </c>
      <c r="AR224">
        <v>372.07</v>
      </c>
      <c r="AS224" t="s">
        <v>344</v>
      </c>
      <c r="AT224">
        <v>9301.86</v>
      </c>
      <c r="AU224">
        <v>372.07</v>
      </c>
      <c r="AV224">
        <v>2023</v>
      </c>
      <c r="AW224">
        <v>38</v>
      </c>
      <c r="AX224">
        <v>670</v>
      </c>
      <c r="AY224">
        <v>0</v>
      </c>
      <c r="AZ224" t="s">
        <v>345</v>
      </c>
      <c r="BA224">
        <v>7601.04</v>
      </c>
      <c r="BB224" s="1">
        <v>44953</v>
      </c>
    </row>
    <row r="225" spans="1:54" x14ac:dyDescent="0.25">
      <c r="A225">
        <v>2023</v>
      </c>
      <c r="B225">
        <v>70</v>
      </c>
      <c r="C225" s="1">
        <v>44953</v>
      </c>
      <c r="D225">
        <v>2023</v>
      </c>
      <c r="E225">
        <v>2023</v>
      </c>
      <c r="F225">
        <v>31</v>
      </c>
      <c r="H225" t="s">
        <v>346</v>
      </c>
      <c r="I225">
        <v>119</v>
      </c>
      <c r="J225">
        <v>0</v>
      </c>
      <c r="K225" t="s">
        <v>137</v>
      </c>
      <c r="R225" t="str">
        <f>"8768590560"</f>
        <v>8768590560</v>
      </c>
      <c r="S225" t="str">
        <f>"30"</f>
        <v>30</v>
      </c>
      <c r="T225" t="s">
        <v>78</v>
      </c>
      <c r="W225" t="s">
        <v>339</v>
      </c>
      <c r="Y225">
        <v>3020</v>
      </c>
      <c r="Z225" t="s">
        <v>340</v>
      </c>
      <c r="AB225" t="str">
        <f>"01014660417"</f>
        <v>01014660417</v>
      </c>
      <c r="AC225" t="s">
        <v>116</v>
      </c>
      <c r="AD225" t="s">
        <v>341</v>
      </c>
      <c r="AF225">
        <v>2023</v>
      </c>
      <c r="AG225">
        <v>3</v>
      </c>
      <c r="AH225" t="str">
        <f t="shared" si="19"/>
        <v>1</v>
      </c>
      <c r="AI225" t="s">
        <v>342</v>
      </c>
      <c r="AJ225" s="1">
        <v>44926</v>
      </c>
      <c r="AK225" t="s">
        <v>343</v>
      </c>
      <c r="AL225" s="2">
        <v>9673.93</v>
      </c>
      <c r="AM225" t="str">
        <f>"8773336337"</f>
        <v>8773336337</v>
      </c>
      <c r="AN225">
        <v>2023</v>
      </c>
      <c r="AO225">
        <v>43</v>
      </c>
      <c r="AP225" s="2">
        <v>2072.89</v>
      </c>
      <c r="AQ225">
        <v>0</v>
      </c>
      <c r="AR225">
        <v>0</v>
      </c>
      <c r="BA225">
        <v>2072.89</v>
      </c>
      <c r="BB225" s="1">
        <v>44953</v>
      </c>
    </row>
    <row r="226" spans="1:54" x14ac:dyDescent="0.25">
      <c r="A226">
        <v>2023</v>
      </c>
      <c r="B226">
        <v>71</v>
      </c>
      <c r="C226" s="1">
        <v>44953</v>
      </c>
      <c r="D226">
        <v>2023</v>
      </c>
      <c r="E226">
        <v>2022</v>
      </c>
      <c r="F226">
        <v>620</v>
      </c>
      <c r="H226" t="s">
        <v>347</v>
      </c>
      <c r="I226">
        <v>105</v>
      </c>
      <c r="J226">
        <v>0</v>
      </c>
      <c r="K226" t="s">
        <v>348</v>
      </c>
      <c r="R226" t="s">
        <v>349</v>
      </c>
      <c r="S226" t="str">
        <f>"30"</f>
        <v>30</v>
      </c>
      <c r="T226" t="s">
        <v>78</v>
      </c>
      <c r="W226" t="s">
        <v>350</v>
      </c>
      <c r="Y226">
        <v>2385</v>
      </c>
      <c r="Z226" t="s">
        <v>351</v>
      </c>
      <c r="AB226" t="str">
        <f>"04521090268"</f>
        <v>04521090268</v>
      </c>
      <c r="AC226" t="s">
        <v>116</v>
      </c>
      <c r="AD226" t="s">
        <v>352</v>
      </c>
      <c r="AF226">
        <v>2022</v>
      </c>
      <c r="AG226">
        <v>3822</v>
      </c>
      <c r="AH226" t="str">
        <f t="shared" si="19"/>
        <v>1</v>
      </c>
      <c r="AI226" t="s">
        <v>353</v>
      </c>
      <c r="AJ226" s="1">
        <v>44912</v>
      </c>
      <c r="AK226" t="s">
        <v>350</v>
      </c>
      <c r="AL226">
        <v>680</v>
      </c>
      <c r="AM226" t="str">
        <f>"8702404072"</f>
        <v>8702404072</v>
      </c>
      <c r="AN226">
        <v>2023</v>
      </c>
      <c r="AO226">
        <v>48</v>
      </c>
      <c r="AP226">
        <v>680</v>
      </c>
      <c r="AQ226">
        <v>0</v>
      </c>
      <c r="AR226">
        <v>0</v>
      </c>
      <c r="BA226">
        <v>680</v>
      </c>
      <c r="BB226" s="1">
        <v>44953</v>
      </c>
    </row>
    <row r="227" spans="1:54" x14ac:dyDescent="0.25">
      <c r="A227">
        <v>2023</v>
      </c>
      <c r="B227">
        <v>72</v>
      </c>
      <c r="C227" s="1">
        <v>44953</v>
      </c>
      <c r="D227">
        <v>2023</v>
      </c>
      <c r="E227">
        <v>2022</v>
      </c>
      <c r="F227">
        <v>262</v>
      </c>
      <c r="H227" t="s">
        <v>354</v>
      </c>
      <c r="I227">
        <v>189</v>
      </c>
      <c r="J227">
        <v>0</v>
      </c>
      <c r="K227" t="s">
        <v>355</v>
      </c>
      <c r="R227" t="s">
        <v>356</v>
      </c>
      <c r="S227" t="str">
        <f>"32"</f>
        <v>32</v>
      </c>
      <c r="T227" t="s">
        <v>357</v>
      </c>
      <c r="W227" t="s">
        <v>358</v>
      </c>
      <c r="Y227">
        <v>1748</v>
      </c>
      <c r="Z227" t="s">
        <v>359</v>
      </c>
      <c r="AA227" t="s">
        <v>360</v>
      </c>
      <c r="AB227" t="s">
        <v>361</v>
      </c>
      <c r="AC227" t="s">
        <v>116</v>
      </c>
      <c r="AD227" t="s">
        <v>362</v>
      </c>
      <c r="AF227">
        <v>2023</v>
      </c>
      <c r="AG227">
        <v>23</v>
      </c>
      <c r="AH227" t="str">
        <f t="shared" si="19"/>
        <v>1</v>
      </c>
      <c r="AI227" t="str">
        <f>"174"</f>
        <v>174</v>
      </c>
      <c r="AJ227" s="1">
        <v>44926</v>
      </c>
      <c r="AK227" t="s">
        <v>358</v>
      </c>
      <c r="AL227" s="2">
        <v>7097.2</v>
      </c>
      <c r="AM227" t="str">
        <f>"8801817715"</f>
        <v>8801817715</v>
      </c>
      <c r="AN227">
        <v>2023</v>
      </c>
      <c r="AO227">
        <v>47</v>
      </c>
      <c r="AP227" s="2">
        <v>7097.2</v>
      </c>
      <c r="AQ227">
        <v>0</v>
      </c>
      <c r="AR227">
        <v>645.20000000000005</v>
      </c>
      <c r="AS227" t="s">
        <v>194</v>
      </c>
      <c r="AT227">
        <v>6452</v>
      </c>
      <c r="AU227">
        <v>645.20000000000005</v>
      </c>
      <c r="AV227">
        <v>2023</v>
      </c>
      <c r="AW227">
        <v>39</v>
      </c>
      <c r="AX227">
        <v>670</v>
      </c>
      <c r="AY227">
        <v>0</v>
      </c>
      <c r="AZ227" t="s">
        <v>363</v>
      </c>
      <c r="BA227">
        <v>7097.2</v>
      </c>
      <c r="BB227" s="1">
        <v>44953</v>
      </c>
    </row>
    <row r="228" spans="1:54" x14ac:dyDescent="0.25">
      <c r="A228">
        <v>2023</v>
      </c>
      <c r="B228">
        <v>73</v>
      </c>
      <c r="C228" s="1">
        <v>44953</v>
      </c>
      <c r="D228">
        <v>2023</v>
      </c>
      <c r="E228">
        <v>2020</v>
      </c>
      <c r="F228">
        <v>16</v>
      </c>
      <c r="H228" t="s">
        <v>364</v>
      </c>
      <c r="I228">
        <v>143</v>
      </c>
      <c r="J228">
        <v>0</v>
      </c>
      <c r="K228" t="s">
        <v>62</v>
      </c>
      <c r="R228" t="str">
        <f>"8085233158"</f>
        <v>8085233158</v>
      </c>
      <c r="S228" t="str">
        <f>"33"</f>
        <v>33</v>
      </c>
      <c r="T228" t="s">
        <v>64</v>
      </c>
      <c r="W228" t="s">
        <v>365</v>
      </c>
      <c r="Y228">
        <v>3142</v>
      </c>
      <c r="Z228" t="s">
        <v>66</v>
      </c>
      <c r="AB228" t="str">
        <f t="shared" ref="AB228:AB238" si="21">"01269980338"</f>
        <v>01269980338</v>
      </c>
      <c r="AC228" t="s">
        <v>116</v>
      </c>
      <c r="AD228" t="s">
        <v>366</v>
      </c>
      <c r="AF228">
        <v>2023</v>
      </c>
      <c r="AG228">
        <v>50</v>
      </c>
      <c r="AH228" t="str">
        <f t="shared" ref="AH228:AH239" si="22">"7"</f>
        <v>7</v>
      </c>
      <c r="AI228" t="s">
        <v>367</v>
      </c>
      <c r="AJ228" s="1">
        <v>44946</v>
      </c>
      <c r="AK228" t="s">
        <v>368</v>
      </c>
      <c r="AL228">
        <v>253.48</v>
      </c>
      <c r="AN228">
        <v>2023</v>
      </c>
      <c r="AO228">
        <v>57</v>
      </c>
      <c r="AP228">
        <v>253.48</v>
      </c>
      <c r="AQ228">
        <v>0</v>
      </c>
      <c r="AR228">
        <v>0</v>
      </c>
      <c r="BA228">
        <v>253.48</v>
      </c>
      <c r="BB228" s="1">
        <v>44953</v>
      </c>
    </row>
    <row r="229" spans="1:54" x14ac:dyDescent="0.25">
      <c r="A229">
        <v>2023</v>
      </c>
      <c r="B229">
        <v>73</v>
      </c>
      <c r="C229" s="1">
        <v>44953</v>
      </c>
      <c r="D229">
        <v>2023</v>
      </c>
      <c r="E229">
        <v>2020</v>
      </c>
      <c r="F229">
        <v>16</v>
      </c>
      <c r="H229" t="s">
        <v>364</v>
      </c>
      <c r="I229">
        <v>143</v>
      </c>
      <c r="J229">
        <v>0</v>
      </c>
      <c r="K229" t="s">
        <v>62</v>
      </c>
      <c r="R229" t="str">
        <f>"8085233158"</f>
        <v>8085233158</v>
      </c>
      <c r="S229" t="str">
        <f>"33"</f>
        <v>33</v>
      </c>
      <c r="T229" t="s">
        <v>64</v>
      </c>
      <c r="W229" t="s">
        <v>365</v>
      </c>
      <c r="Y229">
        <v>3142</v>
      </c>
      <c r="Z229" t="s">
        <v>66</v>
      </c>
      <c r="AB229" t="str">
        <f t="shared" si="21"/>
        <v>01269980338</v>
      </c>
      <c r="AC229" t="s">
        <v>116</v>
      </c>
      <c r="AD229" t="s">
        <v>366</v>
      </c>
      <c r="AF229">
        <v>2023</v>
      </c>
      <c r="AG229">
        <v>51</v>
      </c>
      <c r="AH229" t="str">
        <f t="shared" si="22"/>
        <v>7</v>
      </c>
      <c r="AI229" t="s">
        <v>367</v>
      </c>
      <c r="AJ229" s="1">
        <v>44952</v>
      </c>
      <c r="AK229" t="s">
        <v>369</v>
      </c>
      <c r="AL229">
        <v>495</v>
      </c>
      <c r="AN229">
        <v>2023</v>
      </c>
      <c r="AO229">
        <v>57</v>
      </c>
      <c r="AP229">
        <v>495</v>
      </c>
      <c r="AQ229">
        <v>0</v>
      </c>
      <c r="AR229">
        <v>0</v>
      </c>
      <c r="BA229">
        <v>495</v>
      </c>
      <c r="BB229" s="1">
        <v>44953</v>
      </c>
    </row>
    <row r="230" spans="1:54" x14ac:dyDescent="0.25">
      <c r="A230">
        <v>2023</v>
      </c>
      <c r="B230">
        <v>73</v>
      </c>
      <c r="C230" s="1">
        <v>44953</v>
      </c>
      <c r="D230">
        <v>2023</v>
      </c>
      <c r="E230">
        <v>2020</v>
      </c>
      <c r="F230">
        <v>16</v>
      </c>
      <c r="H230" t="s">
        <v>364</v>
      </c>
      <c r="I230">
        <v>143</v>
      </c>
      <c r="J230">
        <v>0</v>
      </c>
      <c r="K230" t="s">
        <v>62</v>
      </c>
      <c r="R230" t="str">
        <f>"8085233158"</f>
        <v>8085233158</v>
      </c>
      <c r="S230" t="str">
        <f>"33"</f>
        <v>33</v>
      </c>
      <c r="T230" t="s">
        <v>64</v>
      </c>
      <c r="W230" t="s">
        <v>365</v>
      </c>
      <c r="Y230">
        <v>3142</v>
      </c>
      <c r="Z230" t="s">
        <v>66</v>
      </c>
      <c r="AB230" t="str">
        <f t="shared" si="21"/>
        <v>01269980338</v>
      </c>
      <c r="AC230" t="s">
        <v>116</v>
      </c>
      <c r="AD230" t="s">
        <v>366</v>
      </c>
      <c r="AF230">
        <v>2023</v>
      </c>
      <c r="AG230">
        <v>52</v>
      </c>
      <c r="AH230" t="str">
        <f t="shared" si="22"/>
        <v>7</v>
      </c>
      <c r="AI230" t="s">
        <v>367</v>
      </c>
      <c r="AJ230" s="1">
        <v>44952</v>
      </c>
      <c r="AK230" t="s">
        <v>370</v>
      </c>
      <c r="AL230">
        <v>200</v>
      </c>
      <c r="AN230">
        <v>2023</v>
      </c>
      <c r="AO230">
        <v>57</v>
      </c>
      <c r="AP230">
        <v>200</v>
      </c>
      <c r="AQ230">
        <v>0</v>
      </c>
      <c r="AR230">
        <v>0</v>
      </c>
      <c r="BA230">
        <v>200</v>
      </c>
      <c r="BB230" s="1">
        <v>44953</v>
      </c>
    </row>
    <row r="231" spans="1:54" x14ac:dyDescent="0.25">
      <c r="A231">
        <v>2023</v>
      </c>
      <c r="B231">
        <v>73</v>
      </c>
      <c r="C231" s="1">
        <v>44953</v>
      </c>
      <c r="D231">
        <v>2023</v>
      </c>
      <c r="E231">
        <v>2020</v>
      </c>
      <c r="F231">
        <v>16</v>
      </c>
      <c r="H231" t="s">
        <v>364</v>
      </c>
      <c r="I231">
        <v>143</v>
      </c>
      <c r="J231">
        <v>0</v>
      </c>
      <c r="K231" t="s">
        <v>62</v>
      </c>
      <c r="R231" t="str">
        <f>"8085233158"</f>
        <v>8085233158</v>
      </c>
      <c r="S231" t="str">
        <f>"33"</f>
        <v>33</v>
      </c>
      <c r="T231" t="s">
        <v>64</v>
      </c>
      <c r="W231" t="s">
        <v>365</v>
      </c>
      <c r="Y231">
        <v>3142</v>
      </c>
      <c r="Z231" t="s">
        <v>66</v>
      </c>
      <c r="AB231" t="str">
        <f t="shared" si="21"/>
        <v>01269980338</v>
      </c>
      <c r="AC231" t="s">
        <v>116</v>
      </c>
      <c r="AD231" t="s">
        <v>366</v>
      </c>
      <c r="AF231">
        <v>2023</v>
      </c>
      <c r="AG231">
        <v>53</v>
      </c>
      <c r="AH231" t="str">
        <f t="shared" si="22"/>
        <v>7</v>
      </c>
      <c r="AI231" t="s">
        <v>367</v>
      </c>
      <c r="AJ231" s="1">
        <v>44952</v>
      </c>
      <c r="AK231" t="s">
        <v>371</v>
      </c>
      <c r="AL231">
        <v>332.5</v>
      </c>
      <c r="AN231">
        <v>2023</v>
      </c>
      <c r="AO231">
        <v>57</v>
      </c>
      <c r="AP231">
        <v>332.5</v>
      </c>
      <c r="AQ231">
        <v>0</v>
      </c>
      <c r="AR231">
        <v>0</v>
      </c>
      <c r="BA231">
        <v>332.5</v>
      </c>
      <c r="BB231" s="1">
        <v>44953</v>
      </c>
    </row>
    <row r="232" spans="1:54" x14ac:dyDescent="0.25">
      <c r="A232">
        <v>2023</v>
      </c>
      <c r="B232">
        <v>74</v>
      </c>
      <c r="C232" s="1">
        <v>44953</v>
      </c>
      <c r="D232">
        <v>2023</v>
      </c>
      <c r="E232">
        <v>2023</v>
      </c>
      <c r="F232">
        <v>2</v>
      </c>
      <c r="H232" t="s">
        <v>372</v>
      </c>
      <c r="I232">
        <v>143</v>
      </c>
      <c r="J232">
        <v>0</v>
      </c>
      <c r="K232" t="s">
        <v>62</v>
      </c>
      <c r="R232" t="s">
        <v>373</v>
      </c>
      <c r="S232" t="str">
        <f>"31"</f>
        <v>31</v>
      </c>
      <c r="T232" t="s">
        <v>122</v>
      </c>
      <c r="W232" t="s">
        <v>374</v>
      </c>
      <c r="Y232">
        <v>3142</v>
      </c>
      <c r="Z232" t="s">
        <v>66</v>
      </c>
      <c r="AB232" t="str">
        <f t="shared" si="21"/>
        <v>01269980338</v>
      </c>
      <c r="AC232" t="s">
        <v>116</v>
      </c>
      <c r="AD232" t="s">
        <v>366</v>
      </c>
      <c r="AF232">
        <v>2023</v>
      </c>
      <c r="AG232">
        <v>6</v>
      </c>
      <c r="AH232" t="str">
        <f t="shared" si="22"/>
        <v>7</v>
      </c>
      <c r="AI232" t="s">
        <v>367</v>
      </c>
      <c r="AJ232" s="1">
        <v>44928</v>
      </c>
      <c r="AK232" t="s">
        <v>375</v>
      </c>
      <c r="AL232" s="2">
        <v>64645.88</v>
      </c>
      <c r="AN232">
        <v>2023</v>
      </c>
      <c r="AO232">
        <v>58</v>
      </c>
      <c r="AP232" s="2">
        <v>64645.88</v>
      </c>
      <c r="AQ232">
        <v>0</v>
      </c>
      <c r="AR232">
        <v>0</v>
      </c>
      <c r="BA232">
        <v>64645.88</v>
      </c>
      <c r="BB232" s="1">
        <v>44953</v>
      </c>
    </row>
    <row r="233" spans="1:54" x14ac:dyDescent="0.25">
      <c r="A233">
        <v>2023</v>
      </c>
      <c r="B233">
        <v>75</v>
      </c>
      <c r="C233" s="1">
        <v>44953</v>
      </c>
      <c r="D233">
        <v>2023</v>
      </c>
      <c r="E233">
        <v>2020</v>
      </c>
      <c r="F233">
        <v>16</v>
      </c>
      <c r="H233" t="s">
        <v>364</v>
      </c>
      <c r="I233">
        <v>143</v>
      </c>
      <c r="J233">
        <v>0</v>
      </c>
      <c r="K233" t="s">
        <v>62</v>
      </c>
      <c r="R233" t="str">
        <f>"8085296554"</f>
        <v>8085296554</v>
      </c>
      <c r="S233" t="str">
        <f t="shared" ref="S233:S238" si="23">"33"</f>
        <v>33</v>
      </c>
      <c r="T233" t="s">
        <v>64</v>
      </c>
      <c r="W233" t="s">
        <v>376</v>
      </c>
      <c r="Y233">
        <v>3142</v>
      </c>
      <c r="Z233" t="s">
        <v>66</v>
      </c>
      <c r="AB233" t="str">
        <f t="shared" si="21"/>
        <v>01269980338</v>
      </c>
      <c r="AC233" t="s">
        <v>116</v>
      </c>
      <c r="AD233" t="s">
        <v>366</v>
      </c>
      <c r="AF233">
        <v>2023</v>
      </c>
      <c r="AG233">
        <v>5</v>
      </c>
      <c r="AH233" t="str">
        <f t="shared" si="22"/>
        <v>7</v>
      </c>
      <c r="AI233" t="s">
        <v>367</v>
      </c>
      <c r="AJ233" s="1">
        <v>44928</v>
      </c>
      <c r="AK233" t="s">
        <v>377</v>
      </c>
      <c r="AL233" s="2">
        <v>83762.45</v>
      </c>
      <c r="AN233">
        <v>2023</v>
      </c>
      <c r="AO233">
        <v>59</v>
      </c>
      <c r="AP233" s="2">
        <v>30297.69</v>
      </c>
      <c r="AQ233">
        <v>0</v>
      </c>
      <c r="AR233">
        <v>0</v>
      </c>
      <c r="BA233">
        <v>30297.69</v>
      </c>
      <c r="BB233" s="1">
        <v>44953</v>
      </c>
    </row>
    <row r="234" spans="1:54" x14ac:dyDescent="0.25">
      <c r="A234">
        <v>2023</v>
      </c>
      <c r="B234">
        <v>76</v>
      </c>
      <c r="C234" s="1">
        <v>44953</v>
      </c>
      <c r="D234">
        <v>2023</v>
      </c>
      <c r="E234">
        <v>2021</v>
      </c>
      <c r="F234">
        <v>5</v>
      </c>
      <c r="H234" t="s">
        <v>378</v>
      </c>
      <c r="I234">
        <v>143</v>
      </c>
      <c r="J234">
        <v>0</v>
      </c>
      <c r="K234" t="s">
        <v>62</v>
      </c>
      <c r="R234" t="str">
        <f>"8085296554"</f>
        <v>8085296554</v>
      </c>
      <c r="S234" t="str">
        <f t="shared" si="23"/>
        <v>33</v>
      </c>
      <c r="T234" t="s">
        <v>64</v>
      </c>
      <c r="W234" t="s">
        <v>376</v>
      </c>
      <c r="Y234">
        <v>3142</v>
      </c>
      <c r="Z234" t="s">
        <v>66</v>
      </c>
      <c r="AB234" t="str">
        <f t="shared" si="21"/>
        <v>01269980338</v>
      </c>
      <c r="AC234" t="s">
        <v>116</v>
      </c>
      <c r="AD234" t="s">
        <v>366</v>
      </c>
      <c r="AF234">
        <v>2023</v>
      </c>
      <c r="AG234">
        <v>5</v>
      </c>
      <c r="AH234" t="str">
        <f t="shared" si="22"/>
        <v>7</v>
      </c>
      <c r="AI234" t="s">
        <v>367</v>
      </c>
      <c r="AJ234" s="1">
        <v>44928</v>
      </c>
      <c r="AK234" t="s">
        <v>377</v>
      </c>
      <c r="AL234" s="2">
        <v>83762.45</v>
      </c>
      <c r="AN234">
        <v>2023</v>
      </c>
      <c r="AO234">
        <v>60</v>
      </c>
      <c r="AP234" s="2">
        <v>23988.46</v>
      </c>
      <c r="AQ234">
        <v>0</v>
      </c>
      <c r="AR234">
        <v>0</v>
      </c>
      <c r="BA234">
        <v>23988.46</v>
      </c>
      <c r="BB234" s="1">
        <v>44953</v>
      </c>
    </row>
    <row r="235" spans="1:54" x14ac:dyDescent="0.25">
      <c r="A235">
        <v>2023</v>
      </c>
      <c r="B235">
        <v>77</v>
      </c>
      <c r="C235" s="1">
        <v>44953</v>
      </c>
      <c r="D235">
        <v>2023</v>
      </c>
      <c r="E235">
        <v>2022</v>
      </c>
      <c r="F235">
        <v>18</v>
      </c>
      <c r="H235" t="s">
        <v>61</v>
      </c>
      <c r="I235">
        <v>143</v>
      </c>
      <c r="J235">
        <v>0</v>
      </c>
      <c r="K235" t="s">
        <v>62</v>
      </c>
      <c r="R235" t="str">
        <f>"8085296554"</f>
        <v>8085296554</v>
      </c>
      <c r="S235" t="str">
        <f t="shared" si="23"/>
        <v>33</v>
      </c>
      <c r="T235" t="s">
        <v>64</v>
      </c>
      <c r="W235" t="s">
        <v>376</v>
      </c>
      <c r="Y235">
        <v>3142</v>
      </c>
      <c r="Z235" t="s">
        <v>66</v>
      </c>
      <c r="AB235" t="str">
        <f t="shared" si="21"/>
        <v>01269980338</v>
      </c>
      <c r="AC235" t="s">
        <v>116</v>
      </c>
      <c r="AD235" t="s">
        <v>366</v>
      </c>
      <c r="AF235">
        <v>2023</v>
      </c>
      <c r="AG235">
        <v>5</v>
      </c>
      <c r="AH235" t="str">
        <f t="shared" si="22"/>
        <v>7</v>
      </c>
      <c r="AI235" t="s">
        <v>367</v>
      </c>
      <c r="AJ235" s="1">
        <v>44928</v>
      </c>
      <c r="AK235" t="s">
        <v>377</v>
      </c>
      <c r="AL235" s="2">
        <v>83762.45</v>
      </c>
      <c r="AN235">
        <v>2023</v>
      </c>
      <c r="AO235">
        <v>61</v>
      </c>
      <c r="AP235" s="2">
        <v>29476.3</v>
      </c>
      <c r="AQ235">
        <v>0</v>
      </c>
      <c r="AR235">
        <v>0</v>
      </c>
      <c r="BA235">
        <v>29476.3</v>
      </c>
      <c r="BB235" s="1">
        <v>44953</v>
      </c>
    </row>
    <row r="236" spans="1:54" x14ac:dyDescent="0.25">
      <c r="A236">
        <v>2023</v>
      </c>
      <c r="B236">
        <v>77</v>
      </c>
      <c r="C236" s="1">
        <v>44953</v>
      </c>
      <c r="D236">
        <v>2023</v>
      </c>
      <c r="E236">
        <v>2022</v>
      </c>
      <c r="F236">
        <v>18</v>
      </c>
      <c r="H236" t="s">
        <v>61</v>
      </c>
      <c r="I236">
        <v>143</v>
      </c>
      <c r="J236">
        <v>0</v>
      </c>
      <c r="K236" t="s">
        <v>62</v>
      </c>
      <c r="R236" t="str">
        <f>"8085296554"</f>
        <v>8085296554</v>
      </c>
      <c r="S236" t="str">
        <f t="shared" si="23"/>
        <v>33</v>
      </c>
      <c r="T236" t="s">
        <v>64</v>
      </c>
      <c r="W236" t="s">
        <v>376</v>
      </c>
      <c r="Y236">
        <v>3142</v>
      </c>
      <c r="Z236" t="s">
        <v>66</v>
      </c>
      <c r="AB236" t="str">
        <f t="shared" si="21"/>
        <v>01269980338</v>
      </c>
      <c r="AC236" t="s">
        <v>116</v>
      </c>
      <c r="AD236" t="s">
        <v>366</v>
      </c>
      <c r="AF236">
        <v>2023</v>
      </c>
      <c r="AG236">
        <v>7</v>
      </c>
      <c r="AH236" t="str">
        <f t="shared" si="22"/>
        <v>7</v>
      </c>
      <c r="AI236" t="s">
        <v>367</v>
      </c>
      <c r="AJ236" s="1">
        <v>44928</v>
      </c>
      <c r="AK236" t="s">
        <v>379</v>
      </c>
      <c r="AL236">
        <v>73</v>
      </c>
      <c r="AN236">
        <v>2023</v>
      </c>
      <c r="AO236">
        <v>62</v>
      </c>
      <c r="AP236">
        <v>73</v>
      </c>
      <c r="AQ236">
        <v>0</v>
      </c>
      <c r="AR236">
        <v>0</v>
      </c>
      <c r="BA236">
        <v>73</v>
      </c>
      <c r="BB236" s="1">
        <v>44953</v>
      </c>
    </row>
    <row r="237" spans="1:54" x14ac:dyDescent="0.25">
      <c r="A237">
        <v>2023</v>
      </c>
      <c r="B237">
        <v>78</v>
      </c>
      <c r="C237" s="1">
        <v>44953</v>
      </c>
      <c r="D237">
        <v>2023</v>
      </c>
      <c r="E237">
        <v>2023</v>
      </c>
      <c r="F237">
        <v>47</v>
      </c>
      <c r="H237" t="s">
        <v>380</v>
      </c>
      <c r="I237">
        <v>143</v>
      </c>
      <c r="J237">
        <v>0</v>
      </c>
      <c r="K237" t="s">
        <v>62</v>
      </c>
      <c r="R237" t="s">
        <v>381</v>
      </c>
      <c r="S237" t="str">
        <f t="shared" si="23"/>
        <v>33</v>
      </c>
      <c r="T237" t="s">
        <v>64</v>
      </c>
      <c r="W237" t="s">
        <v>382</v>
      </c>
      <c r="Y237">
        <v>3142</v>
      </c>
      <c r="Z237" t="s">
        <v>66</v>
      </c>
      <c r="AB237" t="str">
        <f t="shared" si="21"/>
        <v>01269980338</v>
      </c>
      <c r="AC237" t="s">
        <v>116</v>
      </c>
      <c r="AD237" t="s">
        <v>366</v>
      </c>
      <c r="AF237">
        <v>2023</v>
      </c>
      <c r="AG237">
        <v>48</v>
      </c>
      <c r="AH237" t="str">
        <f t="shared" si="22"/>
        <v>7</v>
      </c>
      <c r="AI237" t="s">
        <v>367</v>
      </c>
      <c r="AJ237" s="1">
        <v>44938</v>
      </c>
      <c r="AK237" t="s">
        <v>383</v>
      </c>
      <c r="AL237">
        <v>407.18</v>
      </c>
      <c r="AN237">
        <v>2023</v>
      </c>
      <c r="AO237">
        <v>63</v>
      </c>
      <c r="AP237">
        <v>407.18</v>
      </c>
      <c r="AQ237">
        <v>0</v>
      </c>
      <c r="AR237">
        <v>0</v>
      </c>
      <c r="BA237">
        <v>407.18</v>
      </c>
      <c r="BB237" s="1">
        <v>44953</v>
      </c>
    </row>
    <row r="238" spans="1:54" x14ac:dyDescent="0.25">
      <c r="A238">
        <v>2023</v>
      </c>
      <c r="B238">
        <v>79</v>
      </c>
      <c r="C238" s="1">
        <v>44953</v>
      </c>
      <c r="D238">
        <v>2023</v>
      </c>
      <c r="E238">
        <v>2023</v>
      </c>
      <c r="F238">
        <v>47</v>
      </c>
      <c r="H238" t="s">
        <v>380</v>
      </c>
      <c r="I238">
        <v>143</v>
      </c>
      <c r="J238">
        <v>0</v>
      </c>
      <c r="K238" t="s">
        <v>62</v>
      </c>
      <c r="R238" t="s">
        <v>384</v>
      </c>
      <c r="S238" t="str">
        <f t="shared" si="23"/>
        <v>33</v>
      </c>
      <c r="T238" t="s">
        <v>64</v>
      </c>
      <c r="W238" t="s">
        <v>385</v>
      </c>
      <c r="Y238">
        <v>3142</v>
      </c>
      <c r="Z238" t="s">
        <v>66</v>
      </c>
      <c r="AB238" t="str">
        <f t="shared" si="21"/>
        <v>01269980338</v>
      </c>
      <c r="AC238" t="s">
        <v>116</v>
      </c>
      <c r="AD238" t="s">
        <v>366</v>
      </c>
      <c r="AF238">
        <v>2023</v>
      </c>
      <c r="AG238">
        <v>49</v>
      </c>
      <c r="AH238" t="str">
        <f t="shared" si="22"/>
        <v>7</v>
      </c>
      <c r="AI238" t="s">
        <v>367</v>
      </c>
      <c r="AJ238" s="1">
        <v>44945</v>
      </c>
      <c r="AK238" t="s">
        <v>386</v>
      </c>
      <c r="AL238">
        <v>481</v>
      </c>
      <c r="AN238">
        <v>2023</v>
      </c>
      <c r="AO238">
        <v>64</v>
      </c>
      <c r="AP238">
        <v>481</v>
      </c>
      <c r="AQ238">
        <v>0</v>
      </c>
      <c r="AR238">
        <v>0</v>
      </c>
      <c r="BA238">
        <v>481</v>
      </c>
      <c r="BB238" s="1">
        <v>44953</v>
      </c>
    </row>
    <row r="239" spans="1:54" x14ac:dyDescent="0.25">
      <c r="A239">
        <v>2023</v>
      </c>
      <c r="B239">
        <v>80</v>
      </c>
      <c r="C239" s="1">
        <v>44957</v>
      </c>
      <c r="D239">
        <v>2023</v>
      </c>
      <c r="E239">
        <v>2023</v>
      </c>
      <c r="F239">
        <v>48</v>
      </c>
      <c r="H239" t="s">
        <v>387</v>
      </c>
      <c r="I239">
        <v>149</v>
      </c>
      <c r="J239">
        <v>0</v>
      </c>
      <c r="K239" t="s">
        <v>277</v>
      </c>
      <c r="S239" t="str">
        <f>"32"</f>
        <v>32</v>
      </c>
      <c r="T239" t="s">
        <v>357</v>
      </c>
      <c r="W239" t="s">
        <v>388</v>
      </c>
      <c r="Y239">
        <v>221</v>
      </c>
      <c r="Z239" t="s">
        <v>389</v>
      </c>
      <c r="AB239" t="str">
        <f>"80416110585"</f>
        <v>80416110585</v>
      </c>
      <c r="AC239" t="s">
        <v>116</v>
      </c>
      <c r="AD239" t="s">
        <v>390</v>
      </c>
      <c r="AF239">
        <v>2023</v>
      </c>
      <c r="AG239">
        <v>57</v>
      </c>
      <c r="AH239" t="str">
        <f t="shared" si="22"/>
        <v>7</v>
      </c>
      <c r="AI239" t="s">
        <v>391</v>
      </c>
      <c r="AJ239" s="1">
        <v>44956</v>
      </c>
      <c r="AK239" t="s">
        <v>388</v>
      </c>
      <c r="AL239">
        <v>304.2</v>
      </c>
      <c r="AN239">
        <v>2023</v>
      </c>
      <c r="AO239">
        <v>85</v>
      </c>
      <c r="AP239">
        <v>304.2</v>
      </c>
      <c r="AQ239">
        <v>0</v>
      </c>
      <c r="AR239">
        <v>0</v>
      </c>
      <c r="BA239">
        <v>304.2</v>
      </c>
      <c r="BB239" s="1">
        <v>44957</v>
      </c>
    </row>
    <row r="240" spans="1:54" x14ac:dyDescent="0.25">
      <c r="A240">
        <v>2023</v>
      </c>
      <c r="B240">
        <v>81</v>
      </c>
      <c r="C240" s="1">
        <v>44957</v>
      </c>
      <c r="D240">
        <v>2023</v>
      </c>
      <c r="E240">
        <v>2022</v>
      </c>
      <c r="F240">
        <v>649</v>
      </c>
      <c r="H240" t="s">
        <v>392</v>
      </c>
      <c r="I240">
        <v>265</v>
      </c>
      <c r="J240">
        <v>0</v>
      </c>
      <c r="K240" t="s">
        <v>325</v>
      </c>
      <c r="R240" t="s">
        <v>393</v>
      </c>
      <c r="S240" t="str">
        <f>"31"</f>
        <v>31</v>
      </c>
      <c r="T240" t="s">
        <v>122</v>
      </c>
      <c r="W240" t="s">
        <v>394</v>
      </c>
      <c r="Y240">
        <v>843</v>
      </c>
      <c r="Z240" t="s">
        <v>395</v>
      </c>
      <c r="AB240" t="str">
        <f>"00722190279"</f>
        <v>00722190279</v>
      </c>
      <c r="AC240" t="s">
        <v>116</v>
      </c>
      <c r="AD240" t="s">
        <v>396</v>
      </c>
      <c r="AF240">
        <v>2022</v>
      </c>
      <c r="AG240">
        <v>3709</v>
      </c>
      <c r="AH240" t="str">
        <f t="shared" ref="AH240:AH271" si="24">"1"</f>
        <v>1</v>
      </c>
      <c r="AI240" t="str">
        <f>"010714"</f>
        <v>010714</v>
      </c>
      <c r="AJ240" s="1">
        <v>44895</v>
      </c>
      <c r="AK240" t="s">
        <v>397</v>
      </c>
      <c r="AL240">
        <v>577.96</v>
      </c>
      <c r="AM240" t="str">
        <f>"8566291044"</f>
        <v>8566291044</v>
      </c>
      <c r="AN240">
        <v>2023</v>
      </c>
      <c r="AO240">
        <v>51</v>
      </c>
      <c r="AP240">
        <v>500</v>
      </c>
      <c r="AQ240">
        <v>0</v>
      </c>
      <c r="AR240">
        <v>104.22</v>
      </c>
      <c r="AS240" t="s">
        <v>177</v>
      </c>
      <c r="AT240">
        <v>473.74</v>
      </c>
      <c r="AU240">
        <v>104.22</v>
      </c>
      <c r="AV240">
        <v>2023</v>
      </c>
      <c r="AW240">
        <v>40</v>
      </c>
      <c r="AX240">
        <v>670</v>
      </c>
      <c r="AY240">
        <v>0</v>
      </c>
      <c r="AZ240" t="s">
        <v>398</v>
      </c>
      <c r="BA240">
        <v>500</v>
      </c>
      <c r="BB240" s="1">
        <v>44957</v>
      </c>
    </row>
    <row r="241" spans="1:54" x14ac:dyDescent="0.25">
      <c r="A241">
        <v>2023</v>
      </c>
      <c r="B241">
        <v>82</v>
      </c>
      <c r="C241" s="1">
        <v>44957</v>
      </c>
      <c r="D241">
        <v>2023</v>
      </c>
      <c r="E241">
        <v>2022</v>
      </c>
      <c r="F241">
        <v>401</v>
      </c>
      <c r="H241" t="s">
        <v>399</v>
      </c>
      <c r="I241">
        <v>120</v>
      </c>
      <c r="J241">
        <v>0</v>
      </c>
      <c r="K241" t="s">
        <v>120</v>
      </c>
      <c r="R241" t="s">
        <v>400</v>
      </c>
      <c r="S241" t="str">
        <f>"31"</f>
        <v>31</v>
      </c>
      <c r="T241" t="s">
        <v>122</v>
      </c>
      <c r="W241" t="s">
        <v>401</v>
      </c>
      <c r="Y241">
        <v>843</v>
      </c>
      <c r="Z241" t="s">
        <v>395</v>
      </c>
      <c r="AB241" t="str">
        <f>"00722190279"</f>
        <v>00722190279</v>
      </c>
      <c r="AC241" t="s">
        <v>116</v>
      </c>
      <c r="AD241" t="s">
        <v>396</v>
      </c>
      <c r="AF241">
        <v>2022</v>
      </c>
      <c r="AG241">
        <v>3709</v>
      </c>
      <c r="AH241" t="str">
        <f t="shared" si="24"/>
        <v>1</v>
      </c>
      <c r="AI241" t="str">
        <f>"010714"</f>
        <v>010714</v>
      </c>
      <c r="AJ241" s="1">
        <v>44895</v>
      </c>
      <c r="AK241" t="s">
        <v>397</v>
      </c>
      <c r="AL241">
        <v>577.96</v>
      </c>
      <c r="AM241" t="str">
        <f>"8566291044"</f>
        <v>8566291044</v>
      </c>
      <c r="AN241">
        <v>2023</v>
      </c>
      <c r="AO241">
        <v>52</v>
      </c>
      <c r="AP241">
        <v>77.959999999999994</v>
      </c>
      <c r="AQ241">
        <v>0</v>
      </c>
      <c r="AR241">
        <v>0</v>
      </c>
      <c r="BA241">
        <v>77.959999999999994</v>
      </c>
      <c r="BB241" s="1">
        <v>44957</v>
      </c>
    </row>
    <row r="242" spans="1:54" x14ac:dyDescent="0.25">
      <c r="A242">
        <v>2023</v>
      </c>
      <c r="B242">
        <v>83</v>
      </c>
      <c r="C242" s="1">
        <v>44957</v>
      </c>
      <c r="D242">
        <v>2023</v>
      </c>
      <c r="E242">
        <v>2022</v>
      </c>
      <c r="F242">
        <v>107</v>
      </c>
      <c r="H242" t="s">
        <v>402</v>
      </c>
      <c r="I242">
        <v>119</v>
      </c>
      <c r="J242">
        <v>0</v>
      </c>
      <c r="K242" t="s">
        <v>137</v>
      </c>
      <c r="R242" t="s">
        <v>403</v>
      </c>
      <c r="S242" t="str">
        <f>"30"</f>
        <v>30</v>
      </c>
      <c r="T242" t="s">
        <v>78</v>
      </c>
      <c r="W242" t="s">
        <v>404</v>
      </c>
      <c r="Y242">
        <v>3272</v>
      </c>
      <c r="Z242" t="s">
        <v>405</v>
      </c>
      <c r="AB242" t="str">
        <f>"03247700275"</f>
        <v>03247700275</v>
      </c>
      <c r="AC242" t="s">
        <v>116</v>
      </c>
      <c r="AD242" t="s">
        <v>406</v>
      </c>
      <c r="AF242">
        <v>2022</v>
      </c>
      <c r="AG242">
        <v>3376</v>
      </c>
      <c r="AH242" t="str">
        <f t="shared" si="24"/>
        <v>1</v>
      </c>
      <c r="AI242" t="s">
        <v>407</v>
      </c>
      <c r="AJ242" s="1">
        <v>44865</v>
      </c>
      <c r="AK242" t="s">
        <v>404</v>
      </c>
      <c r="AL242">
        <v>749.08</v>
      </c>
      <c r="AM242" t="str">
        <f>"8371662663"</f>
        <v>8371662663</v>
      </c>
      <c r="AN242">
        <v>2023</v>
      </c>
      <c r="AO242">
        <v>2</v>
      </c>
      <c r="AP242">
        <v>749.08</v>
      </c>
      <c r="AQ242">
        <v>0</v>
      </c>
      <c r="AR242">
        <v>135.08000000000001</v>
      </c>
      <c r="AS242" t="s">
        <v>177</v>
      </c>
      <c r="AT242">
        <v>614</v>
      </c>
      <c r="AU242">
        <v>135.08000000000001</v>
      </c>
      <c r="AV242">
        <v>2023</v>
      </c>
      <c r="AW242">
        <v>41</v>
      </c>
      <c r="AX242">
        <v>670</v>
      </c>
      <c r="AY242">
        <v>0</v>
      </c>
      <c r="AZ242" t="s">
        <v>408</v>
      </c>
      <c r="BA242">
        <v>749.08</v>
      </c>
      <c r="BB242" s="1">
        <v>44957</v>
      </c>
    </row>
    <row r="243" spans="1:54" x14ac:dyDescent="0.25">
      <c r="A243">
        <v>2023</v>
      </c>
      <c r="B243">
        <v>84</v>
      </c>
      <c r="C243" s="1">
        <v>44957</v>
      </c>
      <c r="D243">
        <v>2023</v>
      </c>
      <c r="E243">
        <v>2022</v>
      </c>
      <c r="F243">
        <v>659</v>
      </c>
      <c r="H243" t="s">
        <v>409</v>
      </c>
      <c r="I243">
        <v>120</v>
      </c>
      <c r="J243">
        <v>0</v>
      </c>
      <c r="K243" t="s">
        <v>120</v>
      </c>
      <c r="R243" t="s">
        <v>410</v>
      </c>
      <c r="S243" t="str">
        <f>"30"</f>
        <v>30</v>
      </c>
      <c r="T243" t="s">
        <v>78</v>
      </c>
      <c r="W243" t="s">
        <v>411</v>
      </c>
      <c r="Y243">
        <v>3272</v>
      </c>
      <c r="Z243" t="s">
        <v>405</v>
      </c>
      <c r="AB243" t="str">
        <f>"03247700275"</f>
        <v>03247700275</v>
      </c>
      <c r="AC243" t="s">
        <v>116</v>
      </c>
      <c r="AD243" t="s">
        <v>406</v>
      </c>
      <c r="AF243">
        <v>2022</v>
      </c>
      <c r="AG243">
        <v>4003</v>
      </c>
      <c r="AH243" t="str">
        <f t="shared" si="24"/>
        <v>1</v>
      </c>
      <c r="AI243" t="s">
        <v>412</v>
      </c>
      <c r="AJ243" s="1">
        <v>44917</v>
      </c>
      <c r="AK243" t="s">
        <v>411</v>
      </c>
      <c r="AL243">
        <v>203.79</v>
      </c>
      <c r="AM243" t="str">
        <f>"8705822116"</f>
        <v>8705822116</v>
      </c>
      <c r="AN243">
        <v>2023</v>
      </c>
      <c r="AO243">
        <v>3</v>
      </c>
      <c r="AP243">
        <v>203.79</v>
      </c>
      <c r="AQ243">
        <v>0</v>
      </c>
      <c r="AR243">
        <v>36.75</v>
      </c>
      <c r="AS243" t="s">
        <v>177</v>
      </c>
      <c r="AT243">
        <v>167.04</v>
      </c>
      <c r="AU243">
        <v>36.75</v>
      </c>
      <c r="AV243">
        <v>2023</v>
      </c>
      <c r="AW243">
        <v>42</v>
      </c>
      <c r="AX243">
        <v>670</v>
      </c>
      <c r="AY243">
        <v>0</v>
      </c>
      <c r="AZ243" t="s">
        <v>413</v>
      </c>
      <c r="BA243">
        <v>203.79</v>
      </c>
      <c r="BB243" s="1">
        <v>44957</v>
      </c>
    </row>
    <row r="244" spans="1:54" x14ac:dyDescent="0.25">
      <c r="A244">
        <v>2023</v>
      </c>
      <c r="B244">
        <v>85</v>
      </c>
      <c r="C244" s="1">
        <v>44957</v>
      </c>
      <c r="D244">
        <v>2023</v>
      </c>
      <c r="E244">
        <v>2021</v>
      </c>
      <c r="F244">
        <v>187</v>
      </c>
      <c r="H244" t="s">
        <v>414</v>
      </c>
      <c r="I244">
        <v>119</v>
      </c>
      <c r="J244">
        <v>0</v>
      </c>
      <c r="K244" t="s">
        <v>137</v>
      </c>
      <c r="R244" t="s">
        <v>403</v>
      </c>
      <c r="S244" t="str">
        <f t="shared" ref="S244:S289" si="25">"31"</f>
        <v>31</v>
      </c>
      <c r="T244" t="s">
        <v>122</v>
      </c>
      <c r="W244" t="s">
        <v>415</v>
      </c>
      <c r="Y244">
        <v>3272</v>
      </c>
      <c r="Z244" t="s">
        <v>405</v>
      </c>
      <c r="AB244" t="str">
        <f>"03247700275"</f>
        <v>03247700275</v>
      </c>
      <c r="AC244" t="s">
        <v>116</v>
      </c>
      <c r="AD244" t="s">
        <v>406</v>
      </c>
      <c r="AF244">
        <v>2022</v>
      </c>
      <c r="AG244">
        <v>4002</v>
      </c>
      <c r="AH244" t="str">
        <f t="shared" si="24"/>
        <v>1</v>
      </c>
      <c r="AI244" t="s">
        <v>416</v>
      </c>
      <c r="AJ244" s="1">
        <v>44917</v>
      </c>
      <c r="AK244" t="s">
        <v>415</v>
      </c>
      <c r="AL244">
        <v>54.9</v>
      </c>
      <c r="AM244" t="str">
        <f>"8705821211"</f>
        <v>8705821211</v>
      </c>
      <c r="AN244">
        <v>2023</v>
      </c>
      <c r="AO244">
        <v>4</v>
      </c>
      <c r="AP244">
        <v>54.9</v>
      </c>
      <c r="AQ244">
        <v>0</v>
      </c>
      <c r="AR244">
        <v>9.9</v>
      </c>
      <c r="AS244" t="s">
        <v>177</v>
      </c>
      <c r="AT244">
        <v>45</v>
      </c>
      <c r="AU244">
        <v>9.9</v>
      </c>
      <c r="AV244">
        <v>2023</v>
      </c>
      <c r="AW244">
        <v>43</v>
      </c>
      <c r="AX244">
        <v>670</v>
      </c>
      <c r="AY244">
        <v>0</v>
      </c>
      <c r="AZ244" t="s">
        <v>417</v>
      </c>
      <c r="BA244">
        <v>54.9</v>
      </c>
      <c r="BB244" s="1">
        <v>44957</v>
      </c>
    </row>
    <row r="245" spans="1:54" x14ac:dyDescent="0.25">
      <c r="A245">
        <v>2023</v>
      </c>
      <c r="B245">
        <v>86</v>
      </c>
      <c r="C245" s="1">
        <v>44957</v>
      </c>
      <c r="D245">
        <v>2023</v>
      </c>
      <c r="E245">
        <v>2022</v>
      </c>
      <c r="F245">
        <v>340</v>
      </c>
      <c r="H245" t="s">
        <v>418</v>
      </c>
      <c r="I245">
        <v>120</v>
      </c>
      <c r="J245">
        <v>0</v>
      </c>
      <c r="K245" t="s">
        <v>120</v>
      </c>
      <c r="R245" t="s">
        <v>419</v>
      </c>
      <c r="S245" t="str">
        <f t="shared" si="25"/>
        <v>31</v>
      </c>
      <c r="T245" t="s">
        <v>122</v>
      </c>
      <c r="W245" t="s">
        <v>420</v>
      </c>
      <c r="Y245">
        <v>1475</v>
      </c>
      <c r="Z245" t="s">
        <v>421</v>
      </c>
      <c r="AB245" t="str">
        <f>"03382720278"</f>
        <v>03382720278</v>
      </c>
      <c r="AC245" t="s">
        <v>116</v>
      </c>
      <c r="AD245" t="s">
        <v>422</v>
      </c>
      <c r="AF245">
        <v>2022</v>
      </c>
      <c r="AG245">
        <v>3707</v>
      </c>
      <c r="AH245" t="str">
        <f t="shared" si="24"/>
        <v>1</v>
      </c>
      <c r="AI245" t="s">
        <v>423</v>
      </c>
      <c r="AJ245" s="1">
        <v>44895</v>
      </c>
      <c r="AK245" t="s">
        <v>420</v>
      </c>
      <c r="AL245">
        <v>61.16</v>
      </c>
      <c r="AM245" t="str">
        <f>"8554695059"</f>
        <v>8554695059</v>
      </c>
      <c r="AN245">
        <v>2023</v>
      </c>
      <c r="AO245">
        <v>50</v>
      </c>
      <c r="AP245">
        <v>61.16</v>
      </c>
      <c r="AQ245">
        <v>0</v>
      </c>
      <c r="AR245">
        <v>11.76</v>
      </c>
      <c r="AS245" t="s">
        <v>177</v>
      </c>
      <c r="AT245">
        <v>50.13</v>
      </c>
      <c r="AU245">
        <v>11.03</v>
      </c>
      <c r="AV245">
        <v>2023</v>
      </c>
      <c r="AW245">
        <v>44</v>
      </c>
      <c r="AX245">
        <v>670</v>
      </c>
      <c r="AY245">
        <v>0</v>
      </c>
      <c r="AZ245" t="s">
        <v>424</v>
      </c>
      <c r="BA245">
        <v>61.16</v>
      </c>
      <c r="BB245" s="1">
        <v>44957</v>
      </c>
    </row>
    <row r="246" spans="1:54" x14ac:dyDescent="0.25">
      <c r="A246">
        <v>2023</v>
      </c>
      <c r="B246">
        <v>86</v>
      </c>
      <c r="C246" s="1">
        <v>44957</v>
      </c>
      <c r="D246">
        <v>2023</v>
      </c>
      <c r="E246">
        <v>2022</v>
      </c>
      <c r="F246">
        <v>340</v>
      </c>
      <c r="H246" t="s">
        <v>418</v>
      </c>
      <c r="I246">
        <v>120</v>
      </c>
      <c r="J246">
        <v>0</v>
      </c>
      <c r="K246" t="s">
        <v>120</v>
      </c>
      <c r="R246" t="s">
        <v>419</v>
      </c>
      <c r="S246" t="str">
        <f t="shared" si="25"/>
        <v>31</v>
      </c>
      <c r="T246" t="s">
        <v>122</v>
      </c>
      <c r="W246" t="s">
        <v>420</v>
      </c>
      <c r="Y246">
        <v>1475</v>
      </c>
      <c r="Z246" t="s">
        <v>421</v>
      </c>
      <c r="AB246" t="str">
        <f>"03382720278"</f>
        <v>03382720278</v>
      </c>
      <c r="AC246" t="s">
        <v>116</v>
      </c>
      <c r="AD246" t="s">
        <v>422</v>
      </c>
      <c r="AF246">
        <v>2022</v>
      </c>
      <c r="AG246">
        <v>3994</v>
      </c>
      <c r="AH246" t="str">
        <f t="shared" si="24"/>
        <v>1</v>
      </c>
      <c r="AI246" t="s">
        <v>425</v>
      </c>
      <c r="AJ246" s="1">
        <v>44915</v>
      </c>
      <c r="AK246" t="s">
        <v>420</v>
      </c>
      <c r="AL246">
        <v>4.05</v>
      </c>
      <c r="AM246" t="str">
        <f>"8697524549"</f>
        <v>8697524549</v>
      </c>
      <c r="AN246">
        <v>2023</v>
      </c>
      <c r="AO246">
        <v>50</v>
      </c>
      <c r="AP246">
        <v>4.05</v>
      </c>
      <c r="AQ246">
        <v>0</v>
      </c>
      <c r="AR246">
        <v>11.76</v>
      </c>
      <c r="AS246" t="s">
        <v>177</v>
      </c>
      <c r="AT246">
        <v>3.32</v>
      </c>
      <c r="AU246">
        <v>0.73</v>
      </c>
      <c r="AV246">
        <v>2023</v>
      </c>
      <c r="AW246">
        <v>44</v>
      </c>
      <c r="AX246">
        <v>670</v>
      </c>
      <c r="AY246">
        <v>0</v>
      </c>
      <c r="AZ246" t="s">
        <v>424</v>
      </c>
      <c r="BA246">
        <v>4.05</v>
      </c>
      <c r="BB246" s="1">
        <v>44957</v>
      </c>
    </row>
    <row r="247" spans="1:54" x14ac:dyDescent="0.25">
      <c r="A247">
        <v>2023</v>
      </c>
      <c r="B247">
        <v>87</v>
      </c>
      <c r="C247" s="1">
        <v>44957</v>
      </c>
      <c r="D247">
        <v>2023</v>
      </c>
      <c r="E247">
        <v>2022</v>
      </c>
      <c r="F247">
        <v>196</v>
      </c>
      <c r="H247" t="s">
        <v>144</v>
      </c>
      <c r="I247">
        <v>130</v>
      </c>
      <c r="J247">
        <v>0</v>
      </c>
      <c r="K247" t="s">
        <v>128</v>
      </c>
      <c r="S247" t="str">
        <f t="shared" si="25"/>
        <v>31</v>
      </c>
      <c r="T247" t="s">
        <v>122</v>
      </c>
      <c r="W247" t="s">
        <v>426</v>
      </c>
      <c r="Y247">
        <v>2828</v>
      </c>
      <c r="Z247" t="s">
        <v>146</v>
      </c>
      <c r="AB247" t="str">
        <f>"04268260272"</f>
        <v>04268260272</v>
      </c>
      <c r="AC247" t="s">
        <v>67</v>
      </c>
      <c r="AF247">
        <v>2023</v>
      </c>
      <c r="AG247">
        <v>87</v>
      </c>
      <c r="AH247" t="str">
        <f t="shared" si="24"/>
        <v>1</v>
      </c>
      <c r="AI247" t="str">
        <f>"2"</f>
        <v>2</v>
      </c>
      <c r="AJ247" s="1">
        <v>44930</v>
      </c>
      <c r="AK247" t="s">
        <v>427</v>
      </c>
      <c r="AL247">
        <v>34.44</v>
      </c>
      <c r="AN247">
        <v>2023</v>
      </c>
      <c r="AO247">
        <v>147</v>
      </c>
      <c r="AP247">
        <v>31.34</v>
      </c>
      <c r="AQ247">
        <v>0</v>
      </c>
      <c r="AR247">
        <v>0</v>
      </c>
      <c r="BA247">
        <v>31.34</v>
      </c>
      <c r="BB247" s="1">
        <v>44957</v>
      </c>
    </row>
    <row r="248" spans="1:54" x14ac:dyDescent="0.25">
      <c r="A248">
        <v>2023</v>
      </c>
      <c r="B248">
        <v>88</v>
      </c>
      <c r="C248" s="1">
        <v>44957</v>
      </c>
      <c r="D248">
        <v>2023</v>
      </c>
      <c r="E248">
        <v>2022</v>
      </c>
      <c r="F248">
        <v>196</v>
      </c>
      <c r="H248" t="s">
        <v>144</v>
      </c>
      <c r="I248">
        <v>130</v>
      </c>
      <c r="J248">
        <v>0</v>
      </c>
      <c r="K248" t="s">
        <v>128</v>
      </c>
      <c r="S248" t="str">
        <f t="shared" si="25"/>
        <v>31</v>
      </c>
      <c r="T248" t="s">
        <v>122</v>
      </c>
      <c r="W248" t="s">
        <v>426</v>
      </c>
      <c r="Y248">
        <v>2828</v>
      </c>
      <c r="Z248" t="s">
        <v>146</v>
      </c>
      <c r="AB248" t="str">
        <f>"04268260272"</f>
        <v>04268260272</v>
      </c>
      <c r="AC248" t="s">
        <v>60</v>
      </c>
      <c r="AF248">
        <v>2023</v>
      </c>
      <c r="AG248">
        <v>87</v>
      </c>
      <c r="AH248" t="str">
        <f t="shared" si="24"/>
        <v>1</v>
      </c>
      <c r="AI248" t="str">
        <f>"2"</f>
        <v>2</v>
      </c>
      <c r="AJ248" s="1">
        <v>44930</v>
      </c>
      <c r="AK248" t="s">
        <v>427</v>
      </c>
      <c r="AL248">
        <v>34.44</v>
      </c>
      <c r="AN248">
        <v>2023</v>
      </c>
      <c r="AO248">
        <v>147</v>
      </c>
      <c r="AP248">
        <v>3.1</v>
      </c>
      <c r="AQ248">
        <v>0</v>
      </c>
      <c r="AR248">
        <v>3.1</v>
      </c>
      <c r="AS248" t="s">
        <v>194</v>
      </c>
      <c r="AT248">
        <v>30.96</v>
      </c>
      <c r="AU248">
        <v>3.1</v>
      </c>
      <c r="AV248">
        <v>2023</v>
      </c>
      <c r="AW248">
        <v>45</v>
      </c>
      <c r="AX248">
        <v>670</v>
      </c>
      <c r="AY248">
        <v>0</v>
      </c>
      <c r="AZ248" t="s">
        <v>428</v>
      </c>
      <c r="BA248">
        <v>3.1</v>
      </c>
      <c r="BB248" s="1">
        <v>44957</v>
      </c>
    </row>
    <row r="249" spans="1:54" x14ac:dyDescent="0.25">
      <c r="A249">
        <v>2023</v>
      </c>
      <c r="B249">
        <v>89</v>
      </c>
      <c r="C249" s="1">
        <v>44957</v>
      </c>
      <c r="D249">
        <v>2023</v>
      </c>
      <c r="E249">
        <v>2022</v>
      </c>
      <c r="F249">
        <v>193</v>
      </c>
      <c r="H249" t="s">
        <v>429</v>
      </c>
      <c r="I249">
        <v>130</v>
      </c>
      <c r="J249">
        <v>0</v>
      </c>
      <c r="K249" t="s">
        <v>128</v>
      </c>
      <c r="R249" t="s">
        <v>430</v>
      </c>
      <c r="S249" t="str">
        <f t="shared" si="25"/>
        <v>31</v>
      </c>
      <c r="T249" t="s">
        <v>122</v>
      </c>
      <c r="W249" t="s">
        <v>431</v>
      </c>
      <c r="Y249">
        <v>1645</v>
      </c>
      <c r="Z249" t="s">
        <v>432</v>
      </c>
      <c r="AB249" t="str">
        <f t="shared" ref="AB249:AB287" si="26">"03341820276"</f>
        <v>03341820276</v>
      </c>
      <c r="AC249" t="s">
        <v>67</v>
      </c>
      <c r="AF249">
        <v>2023</v>
      </c>
      <c r="AG249">
        <v>76</v>
      </c>
      <c r="AH249" t="str">
        <f t="shared" si="24"/>
        <v>1</v>
      </c>
      <c r="AI249" t="str">
        <f>"12"</f>
        <v>12</v>
      </c>
      <c r="AJ249" s="1">
        <v>44935</v>
      </c>
      <c r="AK249" t="s">
        <v>433</v>
      </c>
      <c r="AL249">
        <v>29.92</v>
      </c>
      <c r="AN249">
        <v>2023</v>
      </c>
      <c r="AO249">
        <v>99</v>
      </c>
      <c r="AP249">
        <v>27.34</v>
      </c>
      <c r="AQ249">
        <v>0</v>
      </c>
      <c r="AR249">
        <v>0</v>
      </c>
      <c r="BA249">
        <v>27.34</v>
      </c>
      <c r="BB249" s="1">
        <v>44957</v>
      </c>
    </row>
    <row r="250" spans="1:54" x14ac:dyDescent="0.25">
      <c r="A250">
        <v>2023</v>
      </c>
      <c r="B250">
        <v>90</v>
      </c>
      <c r="C250" s="1">
        <v>44957</v>
      </c>
      <c r="D250">
        <v>2023</v>
      </c>
      <c r="E250">
        <v>2022</v>
      </c>
      <c r="F250">
        <v>193</v>
      </c>
      <c r="H250" t="s">
        <v>429</v>
      </c>
      <c r="I250">
        <v>130</v>
      </c>
      <c r="J250">
        <v>0</v>
      </c>
      <c r="K250" t="s">
        <v>128</v>
      </c>
      <c r="R250" t="s">
        <v>430</v>
      </c>
      <c r="S250" t="str">
        <f t="shared" si="25"/>
        <v>31</v>
      </c>
      <c r="T250" t="s">
        <v>122</v>
      </c>
      <c r="W250" t="s">
        <v>431</v>
      </c>
      <c r="Y250">
        <v>1645</v>
      </c>
      <c r="Z250" t="s">
        <v>432</v>
      </c>
      <c r="AB250" t="str">
        <f t="shared" si="26"/>
        <v>03341820276</v>
      </c>
      <c r="AC250" t="s">
        <v>60</v>
      </c>
      <c r="AF250">
        <v>2023</v>
      </c>
      <c r="AG250">
        <v>76</v>
      </c>
      <c r="AH250" t="str">
        <f t="shared" si="24"/>
        <v>1</v>
      </c>
      <c r="AI250" t="str">
        <f>"12"</f>
        <v>12</v>
      </c>
      <c r="AJ250" s="1">
        <v>44935</v>
      </c>
      <c r="AK250" t="s">
        <v>433</v>
      </c>
      <c r="AL250">
        <v>29.92</v>
      </c>
      <c r="AN250">
        <v>2023</v>
      </c>
      <c r="AO250">
        <v>99</v>
      </c>
      <c r="AP250">
        <v>2.58</v>
      </c>
      <c r="AQ250">
        <v>0</v>
      </c>
      <c r="AR250">
        <v>2.58</v>
      </c>
      <c r="AS250" t="s">
        <v>194</v>
      </c>
      <c r="AT250">
        <v>25.78</v>
      </c>
      <c r="AU250">
        <v>2.58</v>
      </c>
      <c r="AV250">
        <v>2023</v>
      </c>
      <c r="AW250">
        <v>46</v>
      </c>
      <c r="AX250">
        <v>670</v>
      </c>
      <c r="AY250">
        <v>0</v>
      </c>
      <c r="AZ250" t="s">
        <v>434</v>
      </c>
      <c r="BA250">
        <v>2.58</v>
      </c>
      <c r="BB250" s="1">
        <v>44957</v>
      </c>
    </row>
    <row r="251" spans="1:54" x14ac:dyDescent="0.25">
      <c r="A251">
        <v>2023</v>
      </c>
      <c r="B251">
        <v>91</v>
      </c>
      <c r="C251" s="1">
        <v>44957</v>
      </c>
      <c r="D251">
        <v>2023</v>
      </c>
      <c r="E251">
        <v>2022</v>
      </c>
      <c r="F251">
        <v>143</v>
      </c>
      <c r="H251" t="s">
        <v>435</v>
      </c>
      <c r="I251">
        <v>130</v>
      </c>
      <c r="J251">
        <v>0</v>
      </c>
      <c r="K251" t="s">
        <v>128</v>
      </c>
      <c r="S251" t="str">
        <f t="shared" si="25"/>
        <v>31</v>
      </c>
      <c r="T251" t="s">
        <v>122</v>
      </c>
      <c r="W251" t="s">
        <v>436</v>
      </c>
      <c r="Y251">
        <v>1645</v>
      </c>
      <c r="Z251" t="s">
        <v>432</v>
      </c>
      <c r="AB251" t="str">
        <f t="shared" si="26"/>
        <v>03341820276</v>
      </c>
      <c r="AC251" t="s">
        <v>67</v>
      </c>
      <c r="AF251">
        <v>2023</v>
      </c>
      <c r="AG251">
        <v>75</v>
      </c>
      <c r="AH251" t="str">
        <f t="shared" si="24"/>
        <v>1</v>
      </c>
      <c r="AI251" t="str">
        <f>"3"</f>
        <v>3</v>
      </c>
      <c r="AJ251" s="1">
        <v>44935</v>
      </c>
      <c r="AK251" t="s">
        <v>437</v>
      </c>
      <c r="AL251" s="2">
        <v>1293.49</v>
      </c>
      <c r="AN251">
        <v>2023</v>
      </c>
      <c r="AO251">
        <v>94</v>
      </c>
      <c r="AP251" s="2">
        <v>1176.03</v>
      </c>
      <c r="AQ251">
        <v>0</v>
      </c>
      <c r="AR251">
        <v>0</v>
      </c>
      <c r="BA251">
        <v>1176.03</v>
      </c>
      <c r="BB251" s="1">
        <v>44957</v>
      </c>
    </row>
    <row r="252" spans="1:54" x14ac:dyDescent="0.25">
      <c r="A252">
        <v>2023</v>
      </c>
      <c r="B252">
        <v>92</v>
      </c>
      <c r="C252" s="1">
        <v>44957</v>
      </c>
      <c r="D252">
        <v>2023</v>
      </c>
      <c r="E252">
        <v>2022</v>
      </c>
      <c r="F252">
        <v>143</v>
      </c>
      <c r="H252" t="s">
        <v>435</v>
      </c>
      <c r="I252">
        <v>130</v>
      </c>
      <c r="J252">
        <v>0</v>
      </c>
      <c r="K252" t="s">
        <v>128</v>
      </c>
      <c r="S252" t="str">
        <f t="shared" si="25"/>
        <v>31</v>
      </c>
      <c r="T252" t="s">
        <v>122</v>
      </c>
      <c r="W252" t="s">
        <v>436</v>
      </c>
      <c r="Y252">
        <v>1645</v>
      </c>
      <c r="Z252" t="s">
        <v>432</v>
      </c>
      <c r="AB252" t="str">
        <f t="shared" si="26"/>
        <v>03341820276</v>
      </c>
      <c r="AC252" t="s">
        <v>60</v>
      </c>
      <c r="AF252">
        <v>2023</v>
      </c>
      <c r="AG252">
        <v>75</v>
      </c>
      <c r="AH252" t="str">
        <f t="shared" si="24"/>
        <v>1</v>
      </c>
      <c r="AI252" t="str">
        <f>"3"</f>
        <v>3</v>
      </c>
      <c r="AJ252" s="1">
        <v>44935</v>
      </c>
      <c r="AK252" t="s">
        <v>437</v>
      </c>
      <c r="AL252" s="2">
        <v>1293.49</v>
      </c>
      <c r="AN252">
        <v>2023</v>
      </c>
      <c r="AO252">
        <v>94</v>
      </c>
      <c r="AP252">
        <v>117.46</v>
      </c>
      <c r="AQ252">
        <v>0</v>
      </c>
      <c r="AR252">
        <v>117.46</v>
      </c>
      <c r="AS252" t="s">
        <v>194</v>
      </c>
      <c r="AT252">
        <v>1174.56</v>
      </c>
      <c r="AU252">
        <v>117.46</v>
      </c>
      <c r="AV252">
        <v>2023</v>
      </c>
      <c r="AW252">
        <v>47</v>
      </c>
      <c r="AX252">
        <v>670</v>
      </c>
      <c r="AY252">
        <v>0</v>
      </c>
      <c r="AZ252" t="s">
        <v>438</v>
      </c>
      <c r="BA252">
        <v>117.46</v>
      </c>
      <c r="BB252" s="1">
        <v>44957</v>
      </c>
    </row>
    <row r="253" spans="1:54" x14ac:dyDescent="0.25">
      <c r="A253">
        <v>2023</v>
      </c>
      <c r="B253">
        <v>93</v>
      </c>
      <c r="C253" s="1">
        <v>44957</v>
      </c>
      <c r="D253">
        <v>2023</v>
      </c>
      <c r="E253">
        <v>2022</v>
      </c>
      <c r="F253">
        <v>423</v>
      </c>
      <c r="H253" t="s">
        <v>439</v>
      </c>
      <c r="I253">
        <v>130</v>
      </c>
      <c r="J253">
        <v>0</v>
      </c>
      <c r="K253" t="s">
        <v>128</v>
      </c>
      <c r="S253" t="str">
        <f t="shared" si="25"/>
        <v>31</v>
      </c>
      <c r="T253" t="s">
        <v>122</v>
      </c>
      <c r="W253" t="s">
        <v>440</v>
      </c>
      <c r="Y253">
        <v>1645</v>
      </c>
      <c r="Z253" t="s">
        <v>432</v>
      </c>
      <c r="AB253" t="str">
        <f t="shared" si="26"/>
        <v>03341820276</v>
      </c>
      <c r="AC253" t="s">
        <v>60</v>
      </c>
      <c r="AF253">
        <v>2022</v>
      </c>
      <c r="AG253">
        <v>2493</v>
      </c>
      <c r="AH253" t="str">
        <f t="shared" si="24"/>
        <v>1</v>
      </c>
      <c r="AI253" t="str">
        <f>"810001309080"</f>
        <v>810001309080</v>
      </c>
      <c r="AJ253" s="1">
        <v>44776</v>
      </c>
      <c r="AK253" t="s">
        <v>441</v>
      </c>
      <c r="AL253">
        <v>-767.69</v>
      </c>
      <c r="AM253" t="str">
        <f>"7793776281"</f>
        <v>7793776281</v>
      </c>
      <c r="AN253">
        <v>2023</v>
      </c>
      <c r="AO253">
        <v>100</v>
      </c>
      <c r="AP253">
        <v>-70.06</v>
      </c>
      <c r="AQ253">
        <v>0</v>
      </c>
      <c r="AR253">
        <v>5.57</v>
      </c>
      <c r="AS253" t="s">
        <v>194</v>
      </c>
      <c r="AT253">
        <v>-700.57</v>
      </c>
      <c r="AU253">
        <v>-70.06</v>
      </c>
      <c r="AV253">
        <v>2023</v>
      </c>
      <c r="AW253">
        <v>48</v>
      </c>
      <c r="AX253">
        <v>670</v>
      </c>
      <c r="AY253">
        <v>0</v>
      </c>
      <c r="AZ253" t="s">
        <v>442</v>
      </c>
      <c r="BA253">
        <v>-70.06</v>
      </c>
      <c r="BB253" s="1">
        <v>44957</v>
      </c>
    </row>
    <row r="254" spans="1:54" x14ac:dyDescent="0.25">
      <c r="A254">
        <v>2023</v>
      </c>
      <c r="B254">
        <v>93</v>
      </c>
      <c r="C254" s="1">
        <v>44957</v>
      </c>
      <c r="D254">
        <v>2023</v>
      </c>
      <c r="E254">
        <v>2022</v>
      </c>
      <c r="F254">
        <v>423</v>
      </c>
      <c r="H254" t="s">
        <v>439</v>
      </c>
      <c r="I254">
        <v>130</v>
      </c>
      <c r="J254">
        <v>0</v>
      </c>
      <c r="K254" t="s">
        <v>128</v>
      </c>
      <c r="S254" t="str">
        <f t="shared" si="25"/>
        <v>31</v>
      </c>
      <c r="T254" t="s">
        <v>122</v>
      </c>
      <c r="W254" t="s">
        <v>440</v>
      </c>
      <c r="Y254">
        <v>1645</v>
      </c>
      <c r="Z254" t="s">
        <v>432</v>
      </c>
      <c r="AB254" t="str">
        <f t="shared" si="26"/>
        <v>03341820276</v>
      </c>
      <c r="AC254" t="s">
        <v>60</v>
      </c>
      <c r="AF254">
        <v>2022</v>
      </c>
      <c r="AG254">
        <v>4103</v>
      </c>
      <c r="AH254" t="str">
        <f t="shared" si="24"/>
        <v>1</v>
      </c>
      <c r="AI254" t="str">
        <f>"810001411302"</f>
        <v>810001411302</v>
      </c>
      <c r="AJ254" s="1">
        <v>44916</v>
      </c>
      <c r="AK254" t="s">
        <v>443</v>
      </c>
      <c r="AL254">
        <v>-76.44</v>
      </c>
      <c r="AM254" t="str">
        <f>"8708851003"</f>
        <v>8708851003</v>
      </c>
      <c r="AN254">
        <v>2023</v>
      </c>
      <c r="AO254">
        <v>100</v>
      </c>
      <c r="AP254">
        <v>-7.01</v>
      </c>
      <c r="AQ254">
        <v>0</v>
      </c>
      <c r="AR254">
        <v>5.57</v>
      </c>
      <c r="AS254" t="s">
        <v>194</v>
      </c>
      <c r="AT254">
        <v>-70.05</v>
      </c>
      <c r="AU254">
        <v>-7.01</v>
      </c>
      <c r="AV254">
        <v>2023</v>
      </c>
      <c r="AW254">
        <v>48</v>
      </c>
      <c r="AX254">
        <v>670</v>
      </c>
      <c r="AY254">
        <v>0</v>
      </c>
      <c r="AZ254" t="s">
        <v>442</v>
      </c>
      <c r="BA254">
        <v>-7.01</v>
      </c>
      <c r="BB254" s="1">
        <v>44957</v>
      </c>
    </row>
    <row r="255" spans="1:54" x14ac:dyDescent="0.25">
      <c r="A255">
        <v>2023</v>
      </c>
      <c r="B255">
        <v>93</v>
      </c>
      <c r="C255" s="1">
        <v>44957</v>
      </c>
      <c r="D255">
        <v>2023</v>
      </c>
      <c r="E255">
        <v>2022</v>
      </c>
      <c r="F255">
        <v>423</v>
      </c>
      <c r="H255" t="s">
        <v>439</v>
      </c>
      <c r="I255">
        <v>130</v>
      </c>
      <c r="J255">
        <v>0</v>
      </c>
      <c r="K255" t="s">
        <v>128</v>
      </c>
      <c r="S255" t="str">
        <f t="shared" si="25"/>
        <v>31</v>
      </c>
      <c r="T255" t="s">
        <v>122</v>
      </c>
      <c r="W255" t="s">
        <v>440</v>
      </c>
      <c r="Y255">
        <v>1645</v>
      </c>
      <c r="Z255" t="s">
        <v>432</v>
      </c>
      <c r="AB255" t="str">
        <f t="shared" si="26"/>
        <v>03341820276</v>
      </c>
      <c r="AC255" t="s">
        <v>60</v>
      </c>
      <c r="AF255">
        <v>2023</v>
      </c>
      <c r="AG255">
        <v>69</v>
      </c>
      <c r="AH255" t="str">
        <f t="shared" si="24"/>
        <v>1</v>
      </c>
      <c r="AI255" t="str">
        <f>"8"</f>
        <v>8</v>
      </c>
      <c r="AJ255" s="1">
        <v>44935</v>
      </c>
      <c r="AK255" t="s">
        <v>444</v>
      </c>
      <c r="AL255">
        <v>21.69</v>
      </c>
      <c r="AN255">
        <v>2023</v>
      </c>
      <c r="AO255">
        <v>100</v>
      </c>
      <c r="AP255">
        <v>1.83</v>
      </c>
      <c r="AQ255">
        <v>0</v>
      </c>
      <c r="AR255">
        <v>5.57</v>
      </c>
      <c r="AS255" t="s">
        <v>194</v>
      </c>
      <c r="AT255">
        <v>18.29</v>
      </c>
      <c r="AU255">
        <v>1.83</v>
      </c>
      <c r="AV255">
        <v>2023</v>
      </c>
      <c r="AW255">
        <v>48</v>
      </c>
      <c r="AX255">
        <v>670</v>
      </c>
      <c r="AY255">
        <v>0</v>
      </c>
      <c r="AZ255" t="s">
        <v>442</v>
      </c>
      <c r="BA255">
        <v>1.83</v>
      </c>
      <c r="BB255" s="1">
        <v>44957</v>
      </c>
    </row>
    <row r="256" spans="1:54" x14ac:dyDescent="0.25">
      <c r="A256">
        <v>2023</v>
      </c>
      <c r="B256">
        <v>93</v>
      </c>
      <c r="C256" s="1">
        <v>44957</v>
      </c>
      <c r="D256">
        <v>2023</v>
      </c>
      <c r="E256">
        <v>2022</v>
      </c>
      <c r="F256">
        <v>423</v>
      </c>
      <c r="H256" t="s">
        <v>439</v>
      </c>
      <c r="I256">
        <v>130</v>
      </c>
      <c r="J256">
        <v>0</v>
      </c>
      <c r="K256" t="s">
        <v>128</v>
      </c>
      <c r="S256" t="str">
        <f t="shared" si="25"/>
        <v>31</v>
      </c>
      <c r="T256" t="s">
        <v>122</v>
      </c>
      <c r="W256" t="s">
        <v>440</v>
      </c>
      <c r="Y256">
        <v>1645</v>
      </c>
      <c r="Z256" t="s">
        <v>432</v>
      </c>
      <c r="AB256" t="str">
        <f t="shared" si="26"/>
        <v>03341820276</v>
      </c>
      <c r="AC256" t="s">
        <v>60</v>
      </c>
      <c r="AF256">
        <v>2023</v>
      </c>
      <c r="AG256">
        <v>70</v>
      </c>
      <c r="AH256" t="str">
        <f t="shared" si="24"/>
        <v>1</v>
      </c>
      <c r="AI256" t="str">
        <f>"9"</f>
        <v>9</v>
      </c>
      <c r="AJ256" s="1">
        <v>44935</v>
      </c>
      <c r="AK256" t="s">
        <v>445</v>
      </c>
      <c r="AL256">
        <v>19.98</v>
      </c>
      <c r="AN256">
        <v>2023</v>
      </c>
      <c r="AO256">
        <v>100</v>
      </c>
      <c r="AP256">
        <v>1.67</v>
      </c>
      <c r="AQ256">
        <v>0</v>
      </c>
      <c r="AR256">
        <v>5.57</v>
      </c>
      <c r="AS256" t="s">
        <v>194</v>
      </c>
      <c r="AT256">
        <v>16.73</v>
      </c>
      <c r="AU256">
        <v>1.67</v>
      </c>
      <c r="AV256">
        <v>2023</v>
      </c>
      <c r="AW256">
        <v>48</v>
      </c>
      <c r="AX256">
        <v>670</v>
      </c>
      <c r="AY256">
        <v>0</v>
      </c>
      <c r="AZ256" t="s">
        <v>442</v>
      </c>
      <c r="BA256">
        <v>1.67</v>
      </c>
      <c r="BB256" s="1">
        <v>44957</v>
      </c>
    </row>
    <row r="257" spans="1:54" x14ac:dyDescent="0.25">
      <c r="A257">
        <v>2023</v>
      </c>
      <c r="B257">
        <v>93</v>
      </c>
      <c r="C257" s="1">
        <v>44957</v>
      </c>
      <c r="D257">
        <v>2023</v>
      </c>
      <c r="E257">
        <v>2022</v>
      </c>
      <c r="F257">
        <v>423</v>
      </c>
      <c r="H257" t="s">
        <v>439</v>
      </c>
      <c r="I257">
        <v>130</v>
      </c>
      <c r="J257">
        <v>0</v>
      </c>
      <c r="K257" t="s">
        <v>128</v>
      </c>
      <c r="S257" t="str">
        <f t="shared" si="25"/>
        <v>31</v>
      </c>
      <c r="T257" t="s">
        <v>122</v>
      </c>
      <c r="W257" t="s">
        <v>440</v>
      </c>
      <c r="Y257">
        <v>1645</v>
      </c>
      <c r="Z257" t="s">
        <v>432</v>
      </c>
      <c r="AB257" t="str">
        <f t="shared" si="26"/>
        <v>03341820276</v>
      </c>
      <c r="AC257" t="s">
        <v>60</v>
      </c>
      <c r="AF257">
        <v>2023</v>
      </c>
      <c r="AG257">
        <v>71</v>
      </c>
      <c r="AH257" t="str">
        <f t="shared" si="24"/>
        <v>1</v>
      </c>
      <c r="AI257" t="str">
        <f>"10"</f>
        <v>10</v>
      </c>
      <c r="AJ257" s="1">
        <v>44935</v>
      </c>
      <c r="AK257" t="s">
        <v>446</v>
      </c>
      <c r="AL257">
        <v>68.59</v>
      </c>
      <c r="AN257">
        <v>2023</v>
      </c>
      <c r="AO257">
        <v>100</v>
      </c>
      <c r="AP257">
        <v>6.09</v>
      </c>
      <c r="AQ257">
        <v>0</v>
      </c>
      <c r="AR257">
        <v>5.57</v>
      </c>
      <c r="AS257" t="s">
        <v>194</v>
      </c>
      <c r="AT257">
        <v>60.93</v>
      </c>
      <c r="AU257">
        <v>6.09</v>
      </c>
      <c r="AV257">
        <v>2023</v>
      </c>
      <c r="AW257">
        <v>48</v>
      </c>
      <c r="AX257">
        <v>670</v>
      </c>
      <c r="AY257">
        <v>0</v>
      </c>
      <c r="AZ257" t="s">
        <v>442</v>
      </c>
      <c r="BA257">
        <v>6.09</v>
      </c>
      <c r="BB257" s="1">
        <v>44957</v>
      </c>
    </row>
    <row r="258" spans="1:54" x14ac:dyDescent="0.25">
      <c r="A258">
        <v>2023</v>
      </c>
      <c r="B258">
        <v>93</v>
      </c>
      <c r="C258" s="1">
        <v>44957</v>
      </c>
      <c r="D258">
        <v>2023</v>
      </c>
      <c r="E258">
        <v>2022</v>
      </c>
      <c r="F258">
        <v>423</v>
      </c>
      <c r="H258" t="s">
        <v>439</v>
      </c>
      <c r="I258">
        <v>130</v>
      </c>
      <c r="J258">
        <v>0</v>
      </c>
      <c r="K258" t="s">
        <v>128</v>
      </c>
      <c r="S258" t="str">
        <f t="shared" si="25"/>
        <v>31</v>
      </c>
      <c r="T258" t="s">
        <v>122</v>
      </c>
      <c r="W258" t="s">
        <v>440</v>
      </c>
      <c r="Y258">
        <v>1645</v>
      </c>
      <c r="Z258" t="s">
        <v>432</v>
      </c>
      <c r="AB258" t="str">
        <f t="shared" si="26"/>
        <v>03341820276</v>
      </c>
      <c r="AC258" t="s">
        <v>60</v>
      </c>
      <c r="AF258">
        <v>2023</v>
      </c>
      <c r="AG258">
        <v>72</v>
      </c>
      <c r="AH258" t="str">
        <f t="shared" si="24"/>
        <v>1</v>
      </c>
      <c r="AI258" t="str">
        <f>"4"</f>
        <v>4</v>
      </c>
      <c r="AJ258" s="1">
        <v>44935</v>
      </c>
      <c r="AK258" t="s">
        <v>447</v>
      </c>
      <c r="AL258">
        <v>19.59</v>
      </c>
      <c r="AN258">
        <v>2023</v>
      </c>
      <c r="AO258">
        <v>100</v>
      </c>
      <c r="AP258">
        <v>1.65</v>
      </c>
      <c r="AQ258">
        <v>0</v>
      </c>
      <c r="AR258">
        <v>5.57</v>
      </c>
      <c r="AS258" t="s">
        <v>194</v>
      </c>
      <c r="AT258">
        <v>16.47</v>
      </c>
      <c r="AU258">
        <v>1.65</v>
      </c>
      <c r="AV258">
        <v>2023</v>
      </c>
      <c r="AW258">
        <v>48</v>
      </c>
      <c r="AX258">
        <v>670</v>
      </c>
      <c r="AY258">
        <v>0</v>
      </c>
      <c r="AZ258" t="s">
        <v>442</v>
      </c>
      <c r="BA258">
        <v>1.65</v>
      </c>
      <c r="BB258" s="1">
        <v>44957</v>
      </c>
    </row>
    <row r="259" spans="1:54" x14ac:dyDescent="0.25">
      <c r="A259">
        <v>2023</v>
      </c>
      <c r="B259">
        <v>93</v>
      </c>
      <c r="C259" s="1">
        <v>44957</v>
      </c>
      <c r="D259">
        <v>2023</v>
      </c>
      <c r="E259">
        <v>2022</v>
      </c>
      <c r="F259">
        <v>423</v>
      </c>
      <c r="H259" t="s">
        <v>439</v>
      </c>
      <c r="I259">
        <v>130</v>
      </c>
      <c r="J259">
        <v>0</v>
      </c>
      <c r="K259" t="s">
        <v>128</v>
      </c>
      <c r="S259" t="str">
        <f t="shared" si="25"/>
        <v>31</v>
      </c>
      <c r="T259" t="s">
        <v>122</v>
      </c>
      <c r="W259" t="s">
        <v>440</v>
      </c>
      <c r="Y259">
        <v>1645</v>
      </c>
      <c r="Z259" t="s">
        <v>432</v>
      </c>
      <c r="AB259" t="str">
        <f t="shared" si="26"/>
        <v>03341820276</v>
      </c>
      <c r="AC259" t="s">
        <v>60</v>
      </c>
      <c r="AF259">
        <v>2023</v>
      </c>
      <c r="AG259">
        <v>73</v>
      </c>
      <c r="AH259" t="str">
        <f t="shared" si="24"/>
        <v>1</v>
      </c>
      <c r="AI259" t="str">
        <f>"5"</f>
        <v>5</v>
      </c>
      <c r="AJ259" s="1">
        <v>44935</v>
      </c>
      <c r="AK259" t="s">
        <v>448</v>
      </c>
      <c r="AL259">
        <v>21.31</v>
      </c>
      <c r="AN259">
        <v>2023</v>
      </c>
      <c r="AO259">
        <v>100</v>
      </c>
      <c r="AP259">
        <v>1.8</v>
      </c>
      <c r="AQ259">
        <v>0</v>
      </c>
      <c r="AR259">
        <v>5.57</v>
      </c>
      <c r="AS259" t="s">
        <v>194</v>
      </c>
      <c r="AT259">
        <v>18.04</v>
      </c>
      <c r="AU259">
        <v>1.8</v>
      </c>
      <c r="AV259">
        <v>2023</v>
      </c>
      <c r="AW259">
        <v>48</v>
      </c>
      <c r="AX259">
        <v>670</v>
      </c>
      <c r="AY259">
        <v>0</v>
      </c>
      <c r="AZ259" t="s">
        <v>442</v>
      </c>
      <c r="BA259">
        <v>1.8</v>
      </c>
      <c r="BB259" s="1">
        <v>44957</v>
      </c>
    </row>
    <row r="260" spans="1:54" x14ac:dyDescent="0.25">
      <c r="A260">
        <v>2023</v>
      </c>
      <c r="B260">
        <v>93</v>
      </c>
      <c r="C260" s="1">
        <v>44957</v>
      </c>
      <c r="D260">
        <v>2023</v>
      </c>
      <c r="E260">
        <v>2022</v>
      </c>
      <c r="F260">
        <v>423</v>
      </c>
      <c r="H260" t="s">
        <v>439</v>
      </c>
      <c r="I260">
        <v>130</v>
      </c>
      <c r="J260">
        <v>0</v>
      </c>
      <c r="K260" t="s">
        <v>128</v>
      </c>
      <c r="S260" t="str">
        <f t="shared" si="25"/>
        <v>31</v>
      </c>
      <c r="T260" t="s">
        <v>122</v>
      </c>
      <c r="W260" t="s">
        <v>440</v>
      </c>
      <c r="Y260">
        <v>1645</v>
      </c>
      <c r="Z260" t="s">
        <v>432</v>
      </c>
      <c r="AB260" t="str">
        <f t="shared" si="26"/>
        <v>03341820276</v>
      </c>
      <c r="AC260" t="s">
        <v>60</v>
      </c>
      <c r="AF260">
        <v>2023</v>
      </c>
      <c r="AG260">
        <v>74</v>
      </c>
      <c r="AH260" t="str">
        <f t="shared" si="24"/>
        <v>1</v>
      </c>
      <c r="AI260" t="str">
        <f>"14"</f>
        <v>14</v>
      </c>
      <c r="AJ260" s="1">
        <v>44935</v>
      </c>
      <c r="AK260" t="s">
        <v>449</v>
      </c>
      <c r="AL260">
        <v>33.67</v>
      </c>
      <c r="AN260">
        <v>2023</v>
      </c>
      <c r="AO260">
        <v>100</v>
      </c>
      <c r="AP260">
        <v>2.92</v>
      </c>
      <c r="AQ260">
        <v>0</v>
      </c>
      <c r="AR260">
        <v>5.57</v>
      </c>
      <c r="AS260" t="s">
        <v>194</v>
      </c>
      <c r="AT260">
        <v>29.17</v>
      </c>
      <c r="AU260">
        <v>2.92</v>
      </c>
      <c r="AV260">
        <v>2023</v>
      </c>
      <c r="AW260">
        <v>48</v>
      </c>
      <c r="AX260">
        <v>670</v>
      </c>
      <c r="AY260">
        <v>0</v>
      </c>
      <c r="AZ260" t="s">
        <v>442</v>
      </c>
      <c r="BA260">
        <v>2.92</v>
      </c>
      <c r="BB260" s="1">
        <v>44957</v>
      </c>
    </row>
    <row r="261" spans="1:54" x14ac:dyDescent="0.25">
      <c r="A261">
        <v>2023</v>
      </c>
      <c r="B261">
        <v>93</v>
      </c>
      <c r="C261" s="1">
        <v>44957</v>
      </c>
      <c r="D261">
        <v>2023</v>
      </c>
      <c r="E261">
        <v>2022</v>
      </c>
      <c r="F261">
        <v>423</v>
      </c>
      <c r="H261" t="s">
        <v>439</v>
      </c>
      <c r="I261">
        <v>130</v>
      </c>
      <c r="J261">
        <v>0</v>
      </c>
      <c r="K261" t="s">
        <v>128</v>
      </c>
      <c r="S261" t="str">
        <f t="shared" si="25"/>
        <v>31</v>
      </c>
      <c r="T261" t="s">
        <v>122</v>
      </c>
      <c r="W261" t="s">
        <v>440</v>
      </c>
      <c r="Y261">
        <v>1645</v>
      </c>
      <c r="Z261" t="s">
        <v>432</v>
      </c>
      <c r="AB261" t="str">
        <f t="shared" si="26"/>
        <v>03341820276</v>
      </c>
      <c r="AC261" t="s">
        <v>60</v>
      </c>
      <c r="AF261">
        <v>2023</v>
      </c>
      <c r="AG261">
        <v>77</v>
      </c>
      <c r="AH261" t="str">
        <f t="shared" si="24"/>
        <v>1</v>
      </c>
      <c r="AI261" t="str">
        <f>"11"</f>
        <v>11</v>
      </c>
      <c r="AJ261" s="1">
        <v>44935</v>
      </c>
      <c r="AK261" t="s">
        <v>450</v>
      </c>
      <c r="AL261">
        <v>39.28</v>
      </c>
      <c r="AN261">
        <v>2023</v>
      </c>
      <c r="AO261">
        <v>100</v>
      </c>
      <c r="AP261">
        <v>3.43</v>
      </c>
      <c r="AQ261">
        <v>0</v>
      </c>
      <c r="AR261">
        <v>5.57</v>
      </c>
      <c r="AS261" t="s">
        <v>194</v>
      </c>
      <c r="AT261">
        <v>34.270000000000003</v>
      </c>
      <c r="AU261">
        <v>3.43</v>
      </c>
      <c r="AV261">
        <v>2023</v>
      </c>
      <c r="AW261">
        <v>48</v>
      </c>
      <c r="AX261">
        <v>670</v>
      </c>
      <c r="AY261">
        <v>0</v>
      </c>
      <c r="AZ261" t="s">
        <v>442</v>
      </c>
      <c r="BA261">
        <v>3.43</v>
      </c>
      <c r="BB261" s="1">
        <v>44957</v>
      </c>
    </row>
    <row r="262" spans="1:54" x14ac:dyDescent="0.25">
      <c r="A262">
        <v>2023</v>
      </c>
      <c r="B262">
        <v>93</v>
      </c>
      <c r="C262" s="1">
        <v>44957</v>
      </c>
      <c r="D262">
        <v>2023</v>
      </c>
      <c r="E262">
        <v>2022</v>
      </c>
      <c r="F262">
        <v>423</v>
      </c>
      <c r="H262" t="s">
        <v>439</v>
      </c>
      <c r="I262">
        <v>130</v>
      </c>
      <c r="J262">
        <v>0</v>
      </c>
      <c r="K262" t="s">
        <v>128</v>
      </c>
      <c r="S262" t="str">
        <f t="shared" si="25"/>
        <v>31</v>
      </c>
      <c r="T262" t="s">
        <v>122</v>
      </c>
      <c r="W262" t="s">
        <v>440</v>
      </c>
      <c r="Y262">
        <v>1645</v>
      </c>
      <c r="Z262" t="s">
        <v>432</v>
      </c>
      <c r="AB262" t="str">
        <f t="shared" si="26"/>
        <v>03341820276</v>
      </c>
      <c r="AC262" t="s">
        <v>60</v>
      </c>
      <c r="AF262">
        <v>2023</v>
      </c>
      <c r="AG262">
        <v>78</v>
      </c>
      <c r="AH262" t="str">
        <f t="shared" si="24"/>
        <v>1</v>
      </c>
      <c r="AI262" t="str">
        <f>"13"</f>
        <v>13</v>
      </c>
      <c r="AJ262" s="1">
        <v>44935</v>
      </c>
      <c r="AK262" t="s">
        <v>451</v>
      </c>
      <c r="AL262">
        <v>21.69</v>
      </c>
      <c r="AN262">
        <v>2023</v>
      </c>
      <c r="AO262">
        <v>100</v>
      </c>
      <c r="AP262">
        <v>1.83</v>
      </c>
      <c r="AQ262">
        <v>0</v>
      </c>
      <c r="AR262">
        <v>5.57</v>
      </c>
      <c r="AS262" t="s">
        <v>194</v>
      </c>
      <c r="AT262">
        <v>18.29</v>
      </c>
      <c r="AU262">
        <v>1.83</v>
      </c>
      <c r="AV262">
        <v>2023</v>
      </c>
      <c r="AW262">
        <v>48</v>
      </c>
      <c r="AX262">
        <v>670</v>
      </c>
      <c r="AY262">
        <v>0</v>
      </c>
      <c r="AZ262" t="s">
        <v>442</v>
      </c>
      <c r="BA262">
        <v>1.83</v>
      </c>
      <c r="BB262" s="1">
        <v>44957</v>
      </c>
    </row>
    <row r="263" spans="1:54" x14ac:dyDescent="0.25">
      <c r="A263">
        <v>2023</v>
      </c>
      <c r="B263">
        <v>93</v>
      </c>
      <c r="C263" s="1">
        <v>44957</v>
      </c>
      <c r="D263">
        <v>2023</v>
      </c>
      <c r="E263">
        <v>2022</v>
      </c>
      <c r="F263">
        <v>423</v>
      </c>
      <c r="H263" t="s">
        <v>439</v>
      </c>
      <c r="I263">
        <v>130</v>
      </c>
      <c r="J263">
        <v>0</v>
      </c>
      <c r="K263" t="s">
        <v>128</v>
      </c>
      <c r="S263" t="str">
        <f t="shared" si="25"/>
        <v>31</v>
      </c>
      <c r="T263" t="s">
        <v>122</v>
      </c>
      <c r="W263" t="s">
        <v>440</v>
      </c>
      <c r="Y263">
        <v>1645</v>
      </c>
      <c r="Z263" t="s">
        <v>432</v>
      </c>
      <c r="AB263" t="str">
        <f t="shared" si="26"/>
        <v>03341820276</v>
      </c>
      <c r="AC263" t="s">
        <v>60</v>
      </c>
      <c r="AF263">
        <v>2023</v>
      </c>
      <c r="AG263">
        <v>79</v>
      </c>
      <c r="AH263" t="str">
        <f t="shared" si="24"/>
        <v>1</v>
      </c>
      <c r="AI263" t="str">
        <f>"7"</f>
        <v>7</v>
      </c>
      <c r="AJ263" s="1">
        <v>44935</v>
      </c>
      <c r="AK263" t="s">
        <v>452</v>
      </c>
      <c r="AL263">
        <v>217.22</v>
      </c>
      <c r="AN263">
        <v>2023</v>
      </c>
      <c r="AO263">
        <v>100</v>
      </c>
      <c r="AP263">
        <v>19.61</v>
      </c>
      <c r="AQ263">
        <v>0</v>
      </c>
      <c r="AR263">
        <v>5.57</v>
      </c>
      <c r="AS263" t="s">
        <v>194</v>
      </c>
      <c r="AT263">
        <v>196.14</v>
      </c>
      <c r="AU263">
        <v>19.61</v>
      </c>
      <c r="AV263">
        <v>2023</v>
      </c>
      <c r="AW263">
        <v>48</v>
      </c>
      <c r="AX263">
        <v>670</v>
      </c>
      <c r="AY263">
        <v>0</v>
      </c>
      <c r="AZ263" t="s">
        <v>442</v>
      </c>
      <c r="BA263">
        <v>19.61</v>
      </c>
      <c r="BB263" s="1">
        <v>44957</v>
      </c>
    </row>
    <row r="264" spans="1:54" x14ac:dyDescent="0.25">
      <c r="A264">
        <v>2023</v>
      </c>
      <c r="B264">
        <v>93</v>
      </c>
      <c r="C264" s="1">
        <v>44957</v>
      </c>
      <c r="D264">
        <v>2023</v>
      </c>
      <c r="E264">
        <v>2022</v>
      </c>
      <c r="F264">
        <v>423</v>
      </c>
      <c r="H264" t="s">
        <v>439</v>
      </c>
      <c r="I264">
        <v>130</v>
      </c>
      <c r="J264">
        <v>0</v>
      </c>
      <c r="K264" t="s">
        <v>128</v>
      </c>
      <c r="S264" t="str">
        <f t="shared" si="25"/>
        <v>31</v>
      </c>
      <c r="T264" t="s">
        <v>122</v>
      </c>
      <c r="W264" t="s">
        <v>440</v>
      </c>
      <c r="Y264">
        <v>1645</v>
      </c>
      <c r="Z264" t="s">
        <v>432</v>
      </c>
      <c r="AB264" t="str">
        <f t="shared" si="26"/>
        <v>03341820276</v>
      </c>
      <c r="AC264" t="s">
        <v>60</v>
      </c>
      <c r="AF264">
        <v>2023</v>
      </c>
      <c r="AG264">
        <v>80</v>
      </c>
      <c r="AH264" t="str">
        <f t="shared" si="24"/>
        <v>1</v>
      </c>
      <c r="AI264" t="str">
        <f>"6"</f>
        <v>6</v>
      </c>
      <c r="AJ264" s="1">
        <v>44935</v>
      </c>
      <c r="AK264" t="s">
        <v>453</v>
      </c>
      <c r="AL264">
        <v>58.23</v>
      </c>
      <c r="AN264">
        <v>2023</v>
      </c>
      <c r="AO264">
        <v>100</v>
      </c>
      <c r="AP264">
        <v>5.16</v>
      </c>
      <c r="AQ264">
        <v>0</v>
      </c>
      <c r="AR264">
        <v>5.57</v>
      </c>
      <c r="AS264" t="s">
        <v>194</v>
      </c>
      <c r="AT264">
        <v>51.6</v>
      </c>
      <c r="AU264">
        <v>5.16</v>
      </c>
      <c r="AV264">
        <v>2023</v>
      </c>
      <c r="AW264">
        <v>48</v>
      </c>
      <c r="AX264">
        <v>670</v>
      </c>
      <c r="AY264">
        <v>0</v>
      </c>
      <c r="AZ264" t="s">
        <v>442</v>
      </c>
      <c r="BA264">
        <v>5.16</v>
      </c>
      <c r="BB264" s="1">
        <v>44957</v>
      </c>
    </row>
    <row r="265" spans="1:54" x14ac:dyDescent="0.25">
      <c r="A265">
        <v>2023</v>
      </c>
      <c r="B265">
        <v>93</v>
      </c>
      <c r="C265" s="1">
        <v>44957</v>
      </c>
      <c r="D265">
        <v>2023</v>
      </c>
      <c r="E265">
        <v>2022</v>
      </c>
      <c r="F265">
        <v>423</v>
      </c>
      <c r="H265" t="s">
        <v>439</v>
      </c>
      <c r="I265">
        <v>130</v>
      </c>
      <c r="J265">
        <v>0</v>
      </c>
      <c r="K265" t="s">
        <v>128</v>
      </c>
      <c r="S265" t="str">
        <f t="shared" si="25"/>
        <v>31</v>
      </c>
      <c r="T265" t="s">
        <v>122</v>
      </c>
      <c r="W265" t="s">
        <v>440</v>
      </c>
      <c r="Y265">
        <v>1645</v>
      </c>
      <c r="Z265" t="s">
        <v>432</v>
      </c>
      <c r="AB265" t="str">
        <f t="shared" si="26"/>
        <v>03341820276</v>
      </c>
      <c r="AC265" t="s">
        <v>60</v>
      </c>
      <c r="AF265">
        <v>2023</v>
      </c>
      <c r="AG265">
        <v>81</v>
      </c>
      <c r="AH265" t="str">
        <f t="shared" si="24"/>
        <v>1</v>
      </c>
      <c r="AI265" t="str">
        <f>"26"</f>
        <v>26</v>
      </c>
      <c r="AJ265" s="1">
        <v>44944</v>
      </c>
      <c r="AK265" t="s">
        <v>454</v>
      </c>
      <c r="AL265">
        <v>42.11</v>
      </c>
      <c r="AN265">
        <v>2023</v>
      </c>
      <c r="AO265">
        <v>100</v>
      </c>
      <c r="AP265">
        <v>3.77</v>
      </c>
      <c r="AQ265">
        <v>0</v>
      </c>
      <c r="AR265">
        <v>5.57</v>
      </c>
      <c r="AS265" t="s">
        <v>194</v>
      </c>
      <c r="AT265">
        <v>37.72</v>
      </c>
      <c r="AU265">
        <v>3.77</v>
      </c>
      <c r="AV265">
        <v>2023</v>
      </c>
      <c r="AW265">
        <v>48</v>
      </c>
      <c r="AX265">
        <v>670</v>
      </c>
      <c r="AY265">
        <v>0</v>
      </c>
      <c r="AZ265" t="s">
        <v>442</v>
      </c>
      <c r="BA265">
        <v>3.77</v>
      </c>
      <c r="BB265" s="1">
        <v>44957</v>
      </c>
    </row>
    <row r="266" spans="1:54" x14ac:dyDescent="0.25">
      <c r="A266">
        <v>2023</v>
      </c>
      <c r="B266">
        <v>93</v>
      </c>
      <c r="C266" s="1">
        <v>44957</v>
      </c>
      <c r="D266">
        <v>2023</v>
      </c>
      <c r="E266">
        <v>2022</v>
      </c>
      <c r="F266">
        <v>423</v>
      </c>
      <c r="H266" t="s">
        <v>439</v>
      </c>
      <c r="I266">
        <v>130</v>
      </c>
      <c r="J266">
        <v>0</v>
      </c>
      <c r="K266" t="s">
        <v>128</v>
      </c>
      <c r="S266" t="str">
        <f t="shared" si="25"/>
        <v>31</v>
      </c>
      <c r="T266" t="s">
        <v>122</v>
      </c>
      <c r="W266" t="s">
        <v>440</v>
      </c>
      <c r="Y266">
        <v>1645</v>
      </c>
      <c r="Z266" t="s">
        <v>432</v>
      </c>
      <c r="AB266" t="str">
        <f t="shared" si="26"/>
        <v>03341820276</v>
      </c>
      <c r="AC266" t="s">
        <v>60</v>
      </c>
      <c r="AF266">
        <v>2023</v>
      </c>
      <c r="AG266">
        <v>82</v>
      </c>
      <c r="AH266" t="str">
        <f t="shared" si="24"/>
        <v>1</v>
      </c>
      <c r="AI266" t="str">
        <f>"28"</f>
        <v>28</v>
      </c>
      <c r="AJ266" s="1">
        <v>44944</v>
      </c>
      <c r="AK266" t="s">
        <v>455</v>
      </c>
      <c r="AL266">
        <v>96.91</v>
      </c>
      <c r="AN266">
        <v>2023</v>
      </c>
      <c r="AO266">
        <v>100</v>
      </c>
      <c r="AP266">
        <v>8.75</v>
      </c>
      <c r="AQ266">
        <v>0</v>
      </c>
      <c r="AR266">
        <v>5.57</v>
      </c>
      <c r="AS266" t="s">
        <v>194</v>
      </c>
      <c r="AT266">
        <v>87.54</v>
      </c>
      <c r="AU266">
        <v>8.75</v>
      </c>
      <c r="AV266">
        <v>2023</v>
      </c>
      <c r="AW266">
        <v>48</v>
      </c>
      <c r="AX266">
        <v>670</v>
      </c>
      <c r="AY266">
        <v>0</v>
      </c>
      <c r="AZ266" t="s">
        <v>442</v>
      </c>
      <c r="BA266">
        <v>8.75</v>
      </c>
      <c r="BB266" s="1">
        <v>44957</v>
      </c>
    </row>
    <row r="267" spans="1:54" x14ac:dyDescent="0.25">
      <c r="A267">
        <v>2023</v>
      </c>
      <c r="B267">
        <v>93</v>
      </c>
      <c r="C267" s="1">
        <v>44957</v>
      </c>
      <c r="D267">
        <v>2023</v>
      </c>
      <c r="E267">
        <v>2022</v>
      </c>
      <c r="F267">
        <v>423</v>
      </c>
      <c r="H267" t="s">
        <v>439</v>
      </c>
      <c r="I267">
        <v>130</v>
      </c>
      <c r="J267">
        <v>0</v>
      </c>
      <c r="K267" t="s">
        <v>128</v>
      </c>
      <c r="S267" t="str">
        <f t="shared" si="25"/>
        <v>31</v>
      </c>
      <c r="T267" t="s">
        <v>122</v>
      </c>
      <c r="W267" t="s">
        <v>440</v>
      </c>
      <c r="Y267">
        <v>1645</v>
      </c>
      <c r="Z267" t="s">
        <v>432</v>
      </c>
      <c r="AB267" t="str">
        <f t="shared" si="26"/>
        <v>03341820276</v>
      </c>
      <c r="AC267" t="s">
        <v>60</v>
      </c>
      <c r="AF267">
        <v>2023</v>
      </c>
      <c r="AG267">
        <v>83</v>
      </c>
      <c r="AH267" t="str">
        <f t="shared" si="24"/>
        <v>1</v>
      </c>
      <c r="AI267" t="str">
        <f>"27"</f>
        <v>27</v>
      </c>
      <c r="AJ267" s="1">
        <v>44944</v>
      </c>
      <c r="AK267" t="s">
        <v>456</v>
      </c>
      <c r="AL267">
        <v>204.89</v>
      </c>
      <c r="AN267">
        <v>2023</v>
      </c>
      <c r="AO267">
        <v>100</v>
      </c>
      <c r="AP267">
        <v>18.57</v>
      </c>
      <c r="AQ267">
        <v>0</v>
      </c>
      <c r="AR267">
        <v>5.57</v>
      </c>
      <c r="AS267" t="s">
        <v>194</v>
      </c>
      <c r="AT267">
        <v>185.7</v>
      </c>
      <c r="AU267">
        <v>18.57</v>
      </c>
      <c r="AV267">
        <v>2023</v>
      </c>
      <c r="AW267">
        <v>48</v>
      </c>
      <c r="AX267">
        <v>670</v>
      </c>
      <c r="AY267">
        <v>0</v>
      </c>
      <c r="AZ267" t="s">
        <v>442</v>
      </c>
      <c r="BA267">
        <v>18.57</v>
      </c>
      <c r="BB267" s="1">
        <v>44957</v>
      </c>
    </row>
    <row r="268" spans="1:54" x14ac:dyDescent="0.25">
      <c r="A268">
        <v>2023</v>
      </c>
      <c r="B268">
        <v>93</v>
      </c>
      <c r="C268" s="1">
        <v>44957</v>
      </c>
      <c r="D268">
        <v>2023</v>
      </c>
      <c r="E268">
        <v>2022</v>
      </c>
      <c r="F268">
        <v>423</v>
      </c>
      <c r="H268" t="s">
        <v>439</v>
      </c>
      <c r="I268">
        <v>130</v>
      </c>
      <c r="J268">
        <v>0</v>
      </c>
      <c r="K268" t="s">
        <v>128</v>
      </c>
      <c r="S268" t="str">
        <f t="shared" si="25"/>
        <v>31</v>
      </c>
      <c r="T268" t="s">
        <v>122</v>
      </c>
      <c r="W268" t="s">
        <v>440</v>
      </c>
      <c r="Y268">
        <v>1645</v>
      </c>
      <c r="Z268" t="s">
        <v>432</v>
      </c>
      <c r="AB268" t="str">
        <f t="shared" si="26"/>
        <v>03341820276</v>
      </c>
      <c r="AC268" t="s">
        <v>60</v>
      </c>
      <c r="AF268">
        <v>2023</v>
      </c>
      <c r="AG268">
        <v>84</v>
      </c>
      <c r="AH268" t="str">
        <f t="shared" si="24"/>
        <v>1</v>
      </c>
      <c r="AI268" t="str">
        <f>"29"</f>
        <v>29</v>
      </c>
      <c r="AJ268" s="1">
        <v>44944</v>
      </c>
      <c r="AK268" t="s">
        <v>457</v>
      </c>
      <c r="AL268">
        <v>25.48</v>
      </c>
      <c r="AN268">
        <v>2023</v>
      </c>
      <c r="AO268">
        <v>100</v>
      </c>
      <c r="AP268">
        <v>2.2599999999999998</v>
      </c>
      <c r="AQ268">
        <v>0</v>
      </c>
      <c r="AR268">
        <v>5.57</v>
      </c>
      <c r="AS268" t="s">
        <v>194</v>
      </c>
      <c r="AT268">
        <v>22.6</v>
      </c>
      <c r="AU268">
        <v>2.2599999999999998</v>
      </c>
      <c r="AV268">
        <v>2023</v>
      </c>
      <c r="AW268">
        <v>48</v>
      </c>
      <c r="AX268">
        <v>670</v>
      </c>
      <c r="AY268">
        <v>0</v>
      </c>
      <c r="AZ268" t="s">
        <v>442</v>
      </c>
      <c r="BA268">
        <v>2.2599999999999998</v>
      </c>
      <c r="BB268" s="1">
        <v>44957</v>
      </c>
    </row>
    <row r="269" spans="1:54" x14ac:dyDescent="0.25">
      <c r="A269">
        <v>2023</v>
      </c>
      <c r="B269">
        <v>93</v>
      </c>
      <c r="C269" s="1">
        <v>44957</v>
      </c>
      <c r="D269">
        <v>2023</v>
      </c>
      <c r="E269">
        <v>2022</v>
      </c>
      <c r="F269">
        <v>423</v>
      </c>
      <c r="H269" t="s">
        <v>439</v>
      </c>
      <c r="I269">
        <v>130</v>
      </c>
      <c r="J269">
        <v>0</v>
      </c>
      <c r="K269" t="s">
        <v>128</v>
      </c>
      <c r="S269" t="str">
        <f t="shared" si="25"/>
        <v>31</v>
      </c>
      <c r="T269" t="s">
        <v>122</v>
      </c>
      <c r="W269" t="s">
        <v>440</v>
      </c>
      <c r="Y269">
        <v>1645</v>
      </c>
      <c r="Z269" t="s">
        <v>432</v>
      </c>
      <c r="AB269" t="str">
        <f t="shared" si="26"/>
        <v>03341820276</v>
      </c>
      <c r="AC269" t="s">
        <v>60</v>
      </c>
      <c r="AF269">
        <v>2023</v>
      </c>
      <c r="AG269">
        <v>85</v>
      </c>
      <c r="AH269" t="str">
        <f t="shared" si="24"/>
        <v>1</v>
      </c>
      <c r="AI269" t="str">
        <f>"25"</f>
        <v>25</v>
      </c>
      <c r="AJ269" s="1">
        <v>44944</v>
      </c>
      <c r="AK269" t="s">
        <v>458</v>
      </c>
      <c r="AL269">
        <v>18.11</v>
      </c>
      <c r="AN269">
        <v>2023</v>
      </c>
      <c r="AO269">
        <v>100</v>
      </c>
      <c r="AP269">
        <v>1.59</v>
      </c>
      <c r="AQ269">
        <v>0</v>
      </c>
      <c r="AR269">
        <v>5.57</v>
      </c>
      <c r="AS269" t="s">
        <v>194</v>
      </c>
      <c r="AT269">
        <v>15.9</v>
      </c>
      <c r="AU269">
        <v>1.59</v>
      </c>
      <c r="AV269">
        <v>2023</v>
      </c>
      <c r="AW269">
        <v>48</v>
      </c>
      <c r="AX269">
        <v>670</v>
      </c>
      <c r="AY269">
        <v>0</v>
      </c>
      <c r="AZ269" t="s">
        <v>442</v>
      </c>
      <c r="BA269">
        <v>1.59</v>
      </c>
      <c r="BB269" s="1">
        <v>44957</v>
      </c>
    </row>
    <row r="270" spans="1:54" x14ac:dyDescent="0.25">
      <c r="A270">
        <v>2023</v>
      </c>
      <c r="B270">
        <v>93</v>
      </c>
      <c r="C270" s="1">
        <v>44957</v>
      </c>
      <c r="D270">
        <v>2023</v>
      </c>
      <c r="E270">
        <v>2022</v>
      </c>
      <c r="F270">
        <v>423</v>
      </c>
      <c r="H270" t="s">
        <v>439</v>
      </c>
      <c r="I270">
        <v>130</v>
      </c>
      <c r="J270">
        <v>0</v>
      </c>
      <c r="K270" t="s">
        <v>128</v>
      </c>
      <c r="S270" t="str">
        <f t="shared" si="25"/>
        <v>31</v>
      </c>
      <c r="T270" t="s">
        <v>122</v>
      </c>
      <c r="W270" t="s">
        <v>440</v>
      </c>
      <c r="Y270">
        <v>1645</v>
      </c>
      <c r="Z270" t="s">
        <v>432</v>
      </c>
      <c r="AB270" t="str">
        <f t="shared" si="26"/>
        <v>03341820276</v>
      </c>
      <c r="AC270" t="s">
        <v>60</v>
      </c>
      <c r="AF270">
        <v>2023</v>
      </c>
      <c r="AG270">
        <v>86</v>
      </c>
      <c r="AH270" t="str">
        <f t="shared" si="24"/>
        <v>1</v>
      </c>
      <c r="AI270" t="str">
        <f>"31"</f>
        <v>31</v>
      </c>
      <c r="AJ270" s="1">
        <v>44945</v>
      </c>
      <c r="AK270" t="s">
        <v>459</v>
      </c>
      <c r="AL270">
        <v>19.46</v>
      </c>
      <c r="AN270">
        <v>2023</v>
      </c>
      <c r="AO270">
        <v>100</v>
      </c>
      <c r="AP270">
        <v>1.71</v>
      </c>
      <c r="AQ270">
        <v>0</v>
      </c>
      <c r="AR270">
        <v>5.57</v>
      </c>
      <c r="AS270" t="s">
        <v>194</v>
      </c>
      <c r="AT270">
        <v>17.12</v>
      </c>
      <c r="AU270">
        <v>1.71</v>
      </c>
      <c r="AV270">
        <v>2023</v>
      </c>
      <c r="AW270">
        <v>48</v>
      </c>
      <c r="AX270">
        <v>670</v>
      </c>
      <c r="AY270">
        <v>0</v>
      </c>
      <c r="AZ270" t="s">
        <v>442</v>
      </c>
      <c r="BA270">
        <v>1.71</v>
      </c>
      <c r="BB270" s="1">
        <v>44957</v>
      </c>
    </row>
    <row r="271" spans="1:54" x14ac:dyDescent="0.25">
      <c r="A271">
        <v>2023</v>
      </c>
      <c r="B271">
        <v>94</v>
      </c>
      <c r="C271" s="1">
        <v>44957</v>
      </c>
      <c r="D271">
        <v>2023</v>
      </c>
      <c r="E271">
        <v>2022</v>
      </c>
      <c r="F271">
        <v>423</v>
      </c>
      <c r="H271" t="s">
        <v>439</v>
      </c>
      <c r="I271">
        <v>130</v>
      </c>
      <c r="J271">
        <v>0</v>
      </c>
      <c r="K271" t="s">
        <v>128</v>
      </c>
      <c r="S271" t="str">
        <f t="shared" si="25"/>
        <v>31</v>
      </c>
      <c r="T271" t="s">
        <v>122</v>
      </c>
      <c r="W271" t="s">
        <v>440</v>
      </c>
      <c r="Y271">
        <v>1645</v>
      </c>
      <c r="Z271" t="s">
        <v>432</v>
      </c>
      <c r="AB271" t="str">
        <f t="shared" si="26"/>
        <v>03341820276</v>
      </c>
      <c r="AC271" t="s">
        <v>67</v>
      </c>
      <c r="AF271">
        <v>2023</v>
      </c>
      <c r="AG271">
        <v>69</v>
      </c>
      <c r="AH271" t="str">
        <f t="shared" si="24"/>
        <v>1</v>
      </c>
      <c r="AI271" t="str">
        <f>"8"</f>
        <v>8</v>
      </c>
      <c r="AJ271" s="1">
        <v>44935</v>
      </c>
      <c r="AK271" t="s">
        <v>444</v>
      </c>
      <c r="AL271">
        <v>21.69</v>
      </c>
      <c r="AN271">
        <v>2023</v>
      </c>
      <c r="AO271">
        <v>100</v>
      </c>
      <c r="AP271">
        <v>19.86</v>
      </c>
      <c r="AQ271">
        <v>0</v>
      </c>
      <c r="AR271">
        <v>0</v>
      </c>
      <c r="BA271">
        <v>19.86</v>
      </c>
      <c r="BB271" s="1">
        <v>44957</v>
      </c>
    </row>
    <row r="272" spans="1:54" x14ac:dyDescent="0.25">
      <c r="A272">
        <v>2023</v>
      </c>
      <c r="B272">
        <v>94</v>
      </c>
      <c r="C272" s="1">
        <v>44957</v>
      </c>
      <c r="D272">
        <v>2023</v>
      </c>
      <c r="E272">
        <v>2022</v>
      </c>
      <c r="F272">
        <v>423</v>
      </c>
      <c r="H272" t="s">
        <v>439</v>
      </c>
      <c r="I272">
        <v>130</v>
      </c>
      <c r="J272">
        <v>0</v>
      </c>
      <c r="K272" t="s">
        <v>128</v>
      </c>
      <c r="S272" t="str">
        <f t="shared" si="25"/>
        <v>31</v>
      </c>
      <c r="T272" t="s">
        <v>122</v>
      </c>
      <c r="W272" t="s">
        <v>440</v>
      </c>
      <c r="Y272">
        <v>1645</v>
      </c>
      <c r="Z272" t="s">
        <v>432</v>
      </c>
      <c r="AB272" t="str">
        <f t="shared" si="26"/>
        <v>03341820276</v>
      </c>
      <c r="AC272" t="s">
        <v>67</v>
      </c>
      <c r="AF272">
        <v>2023</v>
      </c>
      <c r="AG272">
        <v>70</v>
      </c>
      <c r="AH272" t="str">
        <f t="shared" ref="AH272:AH303" si="27">"1"</f>
        <v>1</v>
      </c>
      <c r="AI272" t="str">
        <f>"9"</f>
        <v>9</v>
      </c>
      <c r="AJ272" s="1">
        <v>44935</v>
      </c>
      <c r="AK272" t="s">
        <v>445</v>
      </c>
      <c r="AL272">
        <v>19.98</v>
      </c>
      <c r="AN272">
        <v>2023</v>
      </c>
      <c r="AO272">
        <v>100</v>
      </c>
      <c r="AP272">
        <v>18.309999999999999</v>
      </c>
      <c r="AQ272">
        <v>0</v>
      </c>
      <c r="AR272">
        <v>0</v>
      </c>
      <c r="BA272">
        <v>18.309999999999999</v>
      </c>
      <c r="BB272" s="1">
        <v>44957</v>
      </c>
    </row>
    <row r="273" spans="1:54" x14ac:dyDescent="0.25">
      <c r="A273">
        <v>2023</v>
      </c>
      <c r="B273">
        <v>94</v>
      </c>
      <c r="C273" s="1">
        <v>44957</v>
      </c>
      <c r="D273">
        <v>2023</v>
      </c>
      <c r="E273">
        <v>2022</v>
      </c>
      <c r="F273">
        <v>423</v>
      </c>
      <c r="H273" t="s">
        <v>439</v>
      </c>
      <c r="I273">
        <v>130</v>
      </c>
      <c r="J273">
        <v>0</v>
      </c>
      <c r="K273" t="s">
        <v>128</v>
      </c>
      <c r="S273" t="str">
        <f t="shared" si="25"/>
        <v>31</v>
      </c>
      <c r="T273" t="s">
        <v>122</v>
      </c>
      <c r="W273" t="s">
        <v>440</v>
      </c>
      <c r="Y273">
        <v>1645</v>
      </c>
      <c r="Z273" t="s">
        <v>432</v>
      </c>
      <c r="AB273" t="str">
        <f t="shared" si="26"/>
        <v>03341820276</v>
      </c>
      <c r="AC273" t="s">
        <v>67</v>
      </c>
      <c r="AF273">
        <v>2023</v>
      </c>
      <c r="AG273">
        <v>71</v>
      </c>
      <c r="AH273" t="str">
        <f t="shared" si="27"/>
        <v>1</v>
      </c>
      <c r="AI273" t="str">
        <f>"10"</f>
        <v>10</v>
      </c>
      <c r="AJ273" s="1">
        <v>44935</v>
      </c>
      <c r="AK273" t="s">
        <v>446</v>
      </c>
      <c r="AL273">
        <v>68.59</v>
      </c>
      <c r="AN273">
        <v>2023</v>
      </c>
      <c r="AO273">
        <v>100</v>
      </c>
      <c r="AP273">
        <v>62.5</v>
      </c>
      <c r="AQ273">
        <v>0</v>
      </c>
      <c r="AR273">
        <v>0</v>
      </c>
      <c r="BA273">
        <v>62.5</v>
      </c>
      <c r="BB273" s="1">
        <v>44957</v>
      </c>
    </row>
    <row r="274" spans="1:54" x14ac:dyDescent="0.25">
      <c r="A274">
        <v>2023</v>
      </c>
      <c r="B274">
        <v>94</v>
      </c>
      <c r="C274" s="1">
        <v>44957</v>
      </c>
      <c r="D274">
        <v>2023</v>
      </c>
      <c r="E274">
        <v>2022</v>
      </c>
      <c r="F274">
        <v>423</v>
      </c>
      <c r="H274" t="s">
        <v>439</v>
      </c>
      <c r="I274">
        <v>130</v>
      </c>
      <c r="J274">
        <v>0</v>
      </c>
      <c r="K274" t="s">
        <v>128</v>
      </c>
      <c r="S274" t="str">
        <f t="shared" si="25"/>
        <v>31</v>
      </c>
      <c r="T274" t="s">
        <v>122</v>
      </c>
      <c r="W274" t="s">
        <v>440</v>
      </c>
      <c r="Y274">
        <v>1645</v>
      </c>
      <c r="Z274" t="s">
        <v>432</v>
      </c>
      <c r="AB274" t="str">
        <f t="shared" si="26"/>
        <v>03341820276</v>
      </c>
      <c r="AC274" t="s">
        <v>67</v>
      </c>
      <c r="AF274">
        <v>2023</v>
      </c>
      <c r="AG274">
        <v>72</v>
      </c>
      <c r="AH274" t="str">
        <f t="shared" si="27"/>
        <v>1</v>
      </c>
      <c r="AI274" t="str">
        <f>"4"</f>
        <v>4</v>
      </c>
      <c r="AJ274" s="1">
        <v>44935</v>
      </c>
      <c r="AK274" t="s">
        <v>447</v>
      </c>
      <c r="AL274">
        <v>19.59</v>
      </c>
      <c r="AN274">
        <v>2023</v>
      </c>
      <c r="AO274">
        <v>100</v>
      </c>
      <c r="AP274">
        <v>17.940000000000001</v>
      </c>
      <c r="AQ274">
        <v>0</v>
      </c>
      <c r="AR274">
        <v>0</v>
      </c>
      <c r="BA274">
        <v>17.940000000000001</v>
      </c>
      <c r="BB274" s="1">
        <v>44957</v>
      </c>
    </row>
    <row r="275" spans="1:54" x14ac:dyDescent="0.25">
      <c r="A275">
        <v>2023</v>
      </c>
      <c r="B275">
        <v>94</v>
      </c>
      <c r="C275" s="1">
        <v>44957</v>
      </c>
      <c r="D275">
        <v>2023</v>
      </c>
      <c r="E275">
        <v>2022</v>
      </c>
      <c r="F275">
        <v>423</v>
      </c>
      <c r="H275" t="s">
        <v>439</v>
      </c>
      <c r="I275">
        <v>130</v>
      </c>
      <c r="J275">
        <v>0</v>
      </c>
      <c r="K275" t="s">
        <v>128</v>
      </c>
      <c r="S275" t="str">
        <f t="shared" si="25"/>
        <v>31</v>
      </c>
      <c r="T275" t="s">
        <v>122</v>
      </c>
      <c r="W275" t="s">
        <v>440</v>
      </c>
      <c r="Y275">
        <v>1645</v>
      </c>
      <c r="Z275" t="s">
        <v>432</v>
      </c>
      <c r="AB275" t="str">
        <f t="shared" si="26"/>
        <v>03341820276</v>
      </c>
      <c r="AC275" t="s">
        <v>67</v>
      </c>
      <c r="AF275">
        <v>2023</v>
      </c>
      <c r="AG275">
        <v>73</v>
      </c>
      <c r="AH275" t="str">
        <f t="shared" si="27"/>
        <v>1</v>
      </c>
      <c r="AI275" t="str">
        <f>"5"</f>
        <v>5</v>
      </c>
      <c r="AJ275" s="1">
        <v>44935</v>
      </c>
      <c r="AK275" t="s">
        <v>448</v>
      </c>
      <c r="AL275">
        <v>21.31</v>
      </c>
      <c r="AN275">
        <v>2023</v>
      </c>
      <c r="AO275">
        <v>100</v>
      </c>
      <c r="AP275">
        <v>19.510000000000002</v>
      </c>
      <c r="AQ275">
        <v>0</v>
      </c>
      <c r="AR275">
        <v>0</v>
      </c>
      <c r="BA275">
        <v>19.510000000000002</v>
      </c>
      <c r="BB275" s="1">
        <v>44957</v>
      </c>
    </row>
    <row r="276" spans="1:54" x14ac:dyDescent="0.25">
      <c r="A276">
        <v>2023</v>
      </c>
      <c r="B276">
        <v>94</v>
      </c>
      <c r="C276" s="1">
        <v>44957</v>
      </c>
      <c r="D276">
        <v>2023</v>
      </c>
      <c r="E276">
        <v>2022</v>
      </c>
      <c r="F276">
        <v>423</v>
      </c>
      <c r="H276" t="s">
        <v>439</v>
      </c>
      <c r="I276">
        <v>130</v>
      </c>
      <c r="J276">
        <v>0</v>
      </c>
      <c r="K276" t="s">
        <v>128</v>
      </c>
      <c r="S276" t="str">
        <f t="shared" si="25"/>
        <v>31</v>
      </c>
      <c r="T276" t="s">
        <v>122</v>
      </c>
      <c r="W276" t="s">
        <v>440</v>
      </c>
      <c r="Y276">
        <v>1645</v>
      </c>
      <c r="Z276" t="s">
        <v>432</v>
      </c>
      <c r="AB276" t="str">
        <f t="shared" si="26"/>
        <v>03341820276</v>
      </c>
      <c r="AC276" t="s">
        <v>67</v>
      </c>
      <c r="AF276">
        <v>2023</v>
      </c>
      <c r="AG276">
        <v>74</v>
      </c>
      <c r="AH276" t="str">
        <f t="shared" si="27"/>
        <v>1</v>
      </c>
      <c r="AI276" t="str">
        <f>"14"</f>
        <v>14</v>
      </c>
      <c r="AJ276" s="1">
        <v>44935</v>
      </c>
      <c r="AK276" t="s">
        <v>449</v>
      </c>
      <c r="AL276">
        <v>33.67</v>
      </c>
      <c r="AN276">
        <v>2023</v>
      </c>
      <c r="AO276">
        <v>100</v>
      </c>
      <c r="AP276">
        <v>30.75</v>
      </c>
      <c r="AQ276">
        <v>0</v>
      </c>
      <c r="AR276">
        <v>0</v>
      </c>
      <c r="BA276">
        <v>30.75</v>
      </c>
      <c r="BB276" s="1">
        <v>44957</v>
      </c>
    </row>
    <row r="277" spans="1:54" x14ac:dyDescent="0.25">
      <c r="A277">
        <v>2023</v>
      </c>
      <c r="B277">
        <v>94</v>
      </c>
      <c r="C277" s="1">
        <v>44957</v>
      </c>
      <c r="D277">
        <v>2023</v>
      </c>
      <c r="E277">
        <v>2022</v>
      </c>
      <c r="F277">
        <v>423</v>
      </c>
      <c r="H277" t="s">
        <v>439</v>
      </c>
      <c r="I277">
        <v>130</v>
      </c>
      <c r="J277">
        <v>0</v>
      </c>
      <c r="K277" t="s">
        <v>128</v>
      </c>
      <c r="S277" t="str">
        <f t="shared" si="25"/>
        <v>31</v>
      </c>
      <c r="T277" t="s">
        <v>122</v>
      </c>
      <c r="W277" t="s">
        <v>440</v>
      </c>
      <c r="Y277">
        <v>1645</v>
      </c>
      <c r="Z277" t="s">
        <v>432</v>
      </c>
      <c r="AB277" t="str">
        <f t="shared" si="26"/>
        <v>03341820276</v>
      </c>
      <c r="AC277" t="s">
        <v>67</v>
      </c>
      <c r="AF277">
        <v>2023</v>
      </c>
      <c r="AG277">
        <v>77</v>
      </c>
      <c r="AH277" t="str">
        <f t="shared" si="27"/>
        <v>1</v>
      </c>
      <c r="AI277" t="str">
        <f>"11"</f>
        <v>11</v>
      </c>
      <c r="AJ277" s="1">
        <v>44935</v>
      </c>
      <c r="AK277" t="s">
        <v>450</v>
      </c>
      <c r="AL277">
        <v>39.28</v>
      </c>
      <c r="AN277">
        <v>2023</v>
      </c>
      <c r="AO277">
        <v>100</v>
      </c>
      <c r="AP277">
        <v>35.85</v>
      </c>
      <c r="AQ277">
        <v>0</v>
      </c>
      <c r="AR277">
        <v>0</v>
      </c>
      <c r="BA277">
        <v>35.85</v>
      </c>
      <c r="BB277" s="1">
        <v>44957</v>
      </c>
    </row>
    <row r="278" spans="1:54" x14ac:dyDescent="0.25">
      <c r="A278">
        <v>2023</v>
      </c>
      <c r="B278">
        <v>94</v>
      </c>
      <c r="C278" s="1">
        <v>44957</v>
      </c>
      <c r="D278">
        <v>2023</v>
      </c>
      <c r="E278">
        <v>2022</v>
      </c>
      <c r="F278">
        <v>423</v>
      </c>
      <c r="H278" t="s">
        <v>439</v>
      </c>
      <c r="I278">
        <v>130</v>
      </c>
      <c r="J278">
        <v>0</v>
      </c>
      <c r="K278" t="s">
        <v>128</v>
      </c>
      <c r="S278" t="str">
        <f t="shared" si="25"/>
        <v>31</v>
      </c>
      <c r="T278" t="s">
        <v>122</v>
      </c>
      <c r="W278" t="s">
        <v>440</v>
      </c>
      <c r="Y278">
        <v>1645</v>
      </c>
      <c r="Z278" t="s">
        <v>432</v>
      </c>
      <c r="AB278" t="str">
        <f t="shared" si="26"/>
        <v>03341820276</v>
      </c>
      <c r="AC278" t="s">
        <v>67</v>
      </c>
      <c r="AF278">
        <v>2023</v>
      </c>
      <c r="AG278">
        <v>78</v>
      </c>
      <c r="AH278" t="str">
        <f t="shared" si="27"/>
        <v>1</v>
      </c>
      <c r="AI278" t="str">
        <f>"13"</f>
        <v>13</v>
      </c>
      <c r="AJ278" s="1">
        <v>44935</v>
      </c>
      <c r="AK278" t="s">
        <v>451</v>
      </c>
      <c r="AL278">
        <v>21.69</v>
      </c>
      <c r="AN278">
        <v>2023</v>
      </c>
      <c r="AO278">
        <v>100</v>
      </c>
      <c r="AP278">
        <v>19.86</v>
      </c>
      <c r="AQ278">
        <v>0</v>
      </c>
      <c r="AR278">
        <v>0</v>
      </c>
      <c r="BA278">
        <v>19.86</v>
      </c>
      <c r="BB278" s="1">
        <v>44957</v>
      </c>
    </row>
    <row r="279" spans="1:54" x14ac:dyDescent="0.25">
      <c r="A279">
        <v>2023</v>
      </c>
      <c r="B279">
        <v>94</v>
      </c>
      <c r="C279" s="1">
        <v>44957</v>
      </c>
      <c r="D279">
        <v>2023</v>
      </c>
      <c r="E279">
        <v>2022</v>
      </c>
      <c r="F279">
        <v>423</v>
      </c>
      <c r="H279" t="s">
        <v>439</v>
      </c>
      <c r="I279">
        <v>130</v>
      </c>
      <c r="J279">
        <v>0</v>
      </c>
      <c r="K279" t="s">
        <v>128</v>
      </c>
      <c r="S279" t="str">
        <f t="shared" si="25"/>
        <v>31</v>
      </c>
      <c r="T279" t="s">
        <v>122</v>
      </c>
      <c r="W279" t="s">
        <v>440</v>
      </c>
      <c r="Y279">
        <v>1645</v>
      </c>
      <c r="Z279" t="s">
        <v>432</v>
      </c>
      <c r="AB279" t="str">
        <f t="shared" si="26"/>
        <v>03341820276</v>
      </c>
      <c r="AC279" t="s">
        <v>67</v>
      </c>
      <c r="AF279">
        <v>2023</v>
      </c>
      <c r="AG279">
        <v>79</v>
      </c>
      <c r="AH279" t="str">
        <f t="shared" si="27"/>
        <v>1</v>
      </c>
      <c r="AI279" t="str">
        <f>"7"</f>
        <v>7</v>
      </c>
      <c r="AJ279" s="1">
        <v>44935</v>
      </c>
      <c r="AK279" t="s">
        <v>452</v>
      </c>
      <c r="AL279">
        <v>217.22</v>
      </c>
      <c r="AN279">
        <v>2023</v>
      </c>
      <c r="AO279">
        <v>100</v>
      </c>
      <c r="AP279">
        <v>32.79</v>
      </c>
      <c r="AQ279">
        <v>0</v>
      </c>
      <c r="AR279">
        <v>0</v>
      </c>
      <c r="BA279">
        <v>32.79</v>
      </c>
      <c r="BB279" s="1">
        <v>44957</v>
      </c>
    </row>
    <row r="280" spans="1:54" x14ac:dyDescent="0.25">
      <c r="A280">
        <v>2023</v>
      </c>
      <c r="B280">
        <v>94</v>
      </c>
      <c r="C280" s="1">
        <v>44957</v>
      </c>
      <c r="D280">
        <v>2023</v>
      </c>
      <c r="E280">
        <v>2022</v>
      </c>
      <c r="F280">
        <v>423</v>
      </c>
      <c r="H280" t="s">
        <v>439</v>
      </c>
      <c r="I280">
        <v>130</v>
      </c>
      <c r="J280">
        <v>0</v>
      </c>
      <c r="K280" t="s">
        <v>128</v>
      </c>
      <c r="S280" t="str">
        <f t="shared" si="25"/>
        <v>31</v>
      </c>
      <c r="T280" t="s">
        <v>122</v>
      </c>
      <c r="W280" t="s">
        <v>440</v>
      </c>
      <c r="Y280">
        <v>1645</v>
      </c>
      <c r="Z280" t="s">
        <v>432</v>
      </c>
      <c r="AB280" t="str">
        <f t="shared" si="26"/>
        <v>03341820276</v>
      </c>
      <c r="AC280" t="s">
        <v>67</v>
      </c>
      <c r="AF280">
        <v>2023</v>
      </c>
      <c r="AG280">
        <v>80</v>
      </c>
      <c r="AH280" t="str">
        <f t="shared" si="27"/>
        <v>1</v>
      </c>
      <c r="AI280" t="str">
        <f>"6"</f>
        <v>6</v>
      </c>
      <c r="AJ280" s="1">
        <v>44935</v>
      </c>
      <c r="AK280" t="s">
        <v>453</v>
      </c>
      <c r="AL280">
        <v>58.23</v>
      </c>
      <c r="AN280">
        <v>2023</v>
      </c>
      <c r="AO280">
        <v>100</v>
      </c>
      <c r="AP280">
        <v>53.07</v>
      </c>
      <c r="AQ280">
        <v>0</v>
      </c>
      <c r="AR280">
        <v>0</v>
      </c>
      <c r="BA280">
        <v>53.07</v>
      </c>
      <c r="BB280" s="1">
        <v>44957</v>
      </c>
    </row>
    <row r="281" spans="1:54" x14ac:dyDescent="0.25">
      <c r="A281">
        <v>2023</v>
      </c>
      <c r="B281">
        <v>94</v>
      </c>
      <c r="C281" s="1">
        <v>44957</v>
      </c>
      <c r="D281">
        <v>2023</v>
      </c>
      <c r="E281">
        <v>2022</v>
      </c>
      <c r="F281">
        <v>423</v>
      </c>
      <c r="H281" t="s">
        <v>439</v>
      </c>
      <c r="I281">
        <v>130</v>
      </c>
      <c r="J281">
        <v>0</v>
      </c>
      <c r="K281" t="s">
        <v>128</v>
      </c>
      <c r="S281" t="str">
        <f t="shared" si="25"/>
        <v>31</v>
      </c>
      <c r="T281" t="s">
        <v>122</v>
      </c>
      <c r="W281" t="s">
        <v>440</v>
      </c>
      <c r="Y281">
        <v>1645</v>
      </c>
      <c r="Z281" t="s">
        <v>432</v>
      </c>
      <c r="AB281" t="str">
        <f t="shared" si="26"/>
        <v>03341820276</v>
      </c>
      <c r="AC281" t="s">
        <v>67</v>
      </c>
      <c r="AF281">
        <v>2023</v>
      </c>
      <c r="AG281">
        <v>81</v>
      </c>
      <c r="AH281" t="str">
        <f t="shared" si="27"/>
        <v>1</v>
      </c>
      <c r="AI281" t="str">
        <f>"26"</f>
        <v>26</v>
      </c>
      <c r="AJ281" s="1">
        <v>44944</v>
      </c>
      <c r="AK281" t="s">
        <v>454</v>
      </c>
      <c r="AL281">
        <v>42.11</v>
      </c>
      <c r="AN281">
        <v>2023</v>
      </c>
      <c r="AO281">
        <v>100</v>
      </c>
      <c r="AP281">
        <v>38.340000000000003</v>
      </c>
      <c r="AQ281">
        <v>0</v>
      </c>
      <c r="AR281">
        <v>0</v>
      </c>
      <c r="BA281">
        <v>38.340000000000003</v>
      </c>
      <c r="BB281" s="1">
        <v>44957</v>
      </c>
    </row>
    <row r="282" spans="1:54" x14ac:dyDescent="0.25">
      <c r="A282">
        <v>2023</v>
      </c>
      <c r="B282">
        <v>94</v>
      </c>
      <c r="C282" s="1">
        <v>44957</v>
      </c>
      <c r="D282">
        <v>2023</v>
      </c>
      <c r="E282">
        <v>2022</v>
      </c>
      <c r="F282">
        <v>423</v>
      </c>
      <c r="H282" t="s">
        <v>439</v>
      </c>
      <c r="I282">
        <v>130</v>
      </c>
      <c r="J282">
        <v>0</v>
      </c>
      <c r="K282" t="s">
        <v>128</v>
      </c>
      <c r="S282" t="str">
        <f t="shared" si="25"/>
        <v>31</v>
      </c>
      <c r="T282" t="s">
        <v>122</v>
      </c>
      <c r="W282" t="s">
        <v>440</v>
      </c>
      <c r="Y282">
        <v>1645</v>
      </c>
      <c r="Z282" t="s">
        <v>432</v>
      </c>
      <c r="AB282" t="str">
        <f t="shared" si="26"/>
        <v>03341820276</v>
      </c>
      <c r="AC282" t="s">
        <v>67</v>
      </c>
      <c r="AF282">
        <v>2023</v>
      </c>
      <c r="AG282">
        <v>82</v>
      </c>
      <c r="AH282" t="str">
        <f t="shared" si="27"/>
        <v>1</v>
      </c>
      <c r="AI282" t="str">
        <f>"28"</f>
        <v>28</v>
      </c>
      <c r="AJ282" s="1">
        <v>44944</v>
      </c>
      <c r="AK282" t="s">
        <v>455</v>
      </c>
      <c r="AL282">
        <v>96.91</v>
      </c>
      <c r="AN282">
        <v>2023</v>
      </c>
      <c r="AO282">
        <v>100</v>
      </c>
      <c r="AP282">
        <v>88.16</v>
      </c>
      <c r="AQ282">
        <v>0</v>
      </c>
      <c r="AR282">
        <v>0</v>
      </c>
      <c r="BA282">
        <v>88.16</v>
      </c>
      <c r="BB282" s="1">
        <v>44957</v>
      </c>
    </row>
    <row r="283" spans="1:54" x14ac:dyDescent="0.25">
      <c r="A283">
        <v>2023</v>
      </c>
      <c r="B283">
        <v>94</v>
      </c>
      <c r="C283" s="1">
        <v>44957</v>
      </c>
      <c r="D283">
        <v>2023</v>
      </c>
      <c r="E283">
        <v>2022</v>
      </c>
      <c r="F283">
        <v>423</v>
      </c>
      <c r="H283" t="s">
        <v>439</v>
      </c>
      <c r="I283">
        <v>130</v>
      </c>
      <c r="J283">
        <v>0</v>
      </c>
      <c r="K283" t="s">
        <v>128</v>
      </c>
      <c r="S283" t="str">
        <f t="shared" si="25"/>
        <v>31</v>
      </c>
      <c r="T283" t="s">
        <v>122</v>
      </c>
      <c r="W283" t="s">
        <v>440</v>
      </c>
      <c r="Y283">
        <v>1645</v>
      </c>
      <c r="Z283" t="s">
        <v>432</v>
      </c>
      <c r="AB283" t="str">
        <f t="shared" si="26"/>
        <v>03341820276</v>
      </c>
      <c r="AC283" t="s">
        <v>67</v>
      </c>
      <c r="AF283">
        <v>2023</v>
      </c>
      <c r="AG283">
        <v>84</v>
      </c>
      <c r="AH283" t="str">
        <f t="shared" si="27"/>
        <v>1</v>
      </c>
      <c r="AI283" t="str">
        <f>"29"</f>
        <v>29</v>
      </c>
      <c r="AJ283" s="1">
        <v>44944</v>
      </c>
      <c r="AK283" t="s">
        <v>457</v>
      </c>
      <c r="AL283">
        <v>25.48</v>
      </c>
      <c r="AN283">
        <v>2023</v>
      </c>
      <c r="AO283">
        <v>100</v>
      </c>
      <c r="AP283">
        <v>23.22</v>
      </c>
      <c r="AQ283">
        <v>0</v>
      </c>
      <c r="AR283">
        <v>0</v>
      </c>
      <c r="BA283">
        <v>23.22</v>
      </c>
      <c r="BB283" s="1">
        <v>44957</v>
      </c>
    </row>
    <row r="284" spans="1:54" x14ac:dyDescent="0.25">
      <c r="A284">
        <v>2023</v>
      </c>
      <c r="B284">
        <v>94</v>
      </c>
      <c r="C284" s="1">
        <v>44957</v>
      </c>
      <c r="D284">
        <v>2023</v>
      </c>
      <c r="E284">
        <v>2022</v>
      </c>
      <c r="F284">
        <v>423</v>
      </c>
      <c r="H284" t="s">
        <v>439</v>
      </c>
      <c r="I284">
        <v>130</v>
      </c>
      <c r="J284">
        <v>0</v>
      </c>
      <c r="K284" t="s">
        <v>128</v>
      </c>
      <c r="S284" t="str">
        <f t="shared" si="25"/>
        <v>31</v>
      </c>
      <c r="T284" t="s">
        <v>122</v>
      </c>
      <c r="W284" t="s">
        <v>440</v>
      </c>
      <c r="Y284">
        <v>1645</v>
      </c>
      <c r="Z284" t="s">
        <v>432</v>
      </c>
      <c r="AB284" t="str">
        <f t="shared" si="26"/>
        <v>03341820276</v>
      </c>
      <c r="AC284" t="s">
        <v>67</v>
      </c>
      <c r="AF284">
        <v>2023</v>
      </c>
      <c r="AG284">
        <v>85</v>
      </c>
      <c r="AH284" t="str">
        <f t="shared" si="27"/>
        <v>1</v>
      </c>
      <c r="AI284" t="str">
        <f>"25"</f>
        <v>25</v>
      </c>
      <c r="AJ284" s="1">
        <v>44944</v>
      </c>
      <c r="AK284" t="s">
        <v>458</v>
      </c>
      <c r="AL284">
        <v>18.11</v>
      </c>
      <c r="AN284">
        <v>2023</v>
      </c>
      <c r="AO284">
        <v>100</v>
      </c>
      <c r="AP284">
        <v>16.52</v>
      </c>
      <c r="AQ284">
        <v>0</v>
      </c>
      <c r="AR284">
        <v>0</v>
      </c>
      <c r="BA284">
        <v>16.52</v>
      </c>
      <c r="BB284" s="1">
        <v>44957</v>
      </c>
    </row>
    <row r="285" spans="1:54" x14ac:dyDescent="0.25">
      <c r="A285">
        <v>2023</v>
      </c>
      <c r="B285">
        <v>94</v>
      </c>
      <c r="C285" s="1">
        <v>44957</v>
      </c>
      <c r="D285">
        <v>2023</v>
      </c>
      <c r="E285">
        <v>2022</v>
      </c>
      <c r="F285">
        <v>423</v>
      </c>
      <c r="H285" t="s">
        <v>439</v>
      </c>
      <c r="I285">
        <v>130</v>
      </c>
      <c r="J285">
        <v>0</v>
      </c>
      <c r="K285" t="s">
        <v>128</v>
      </c>
      <c r="S285" t="str">
        <f t="shared" si="25"/>
        <v>31</v>
      </c>
      <c r="T285" t="s">
        <v>122</v>
      </c>
      <c r="W285" t="s">
        <v>440</v>
      </c>
      <c r="Y285">
        <v>1645</v>
      </c>
      <c r="Z285" t="s">
        <v>432</v>
      </c>
      <c r="AB285" t="str">
        <f t="shared" si="26"/>
        <v>03341820276</v>
      </c>
      <c r="AC285" t="s">
        <v>67</v>
      </c>
      <c r="AF285">
        <v>2023</v>
      </c>
      <c r="AG285">
        <v>86</v>
      </c>
      <c r="AH285" t="str">
        <f t="shared" si="27"/>
        <v>1</v>
      </c>
      <c r="AI285" t="str">
        <f>"31"</f>
        <v>31</v>
      </c>
      <c r="AJ285" s="1">
        <v>44945</v>
      </c>
      <c r="AK285" t="s">
        <v>459</v>
      </c>
      <c r="AL285">
        <v>19.46</v>
      </c>
      <c r="AN285">
        <v>2023</v>
      </c>
      <c r="AO285">
        <v>100</v>
      </c>
      <c r="AP285">
        <v>17.75</v>
      </c>
      <c r="AQ285">
        <v>0</v>
      </c>
      <c r="AR285">
        <v>0</v>
      </c>
      <c r="BA285">
        <v>17.75</v>
      </c>
      <c r="BB285" s="1">
        <v>44957</v>
      </c>
    </row>
    <row r="286" spans="1:54" x14ac:dyDescent="0.25">
      <c r="A286">
        <v>2023</v>
      </c>
      <c r="B286">
        <v>95</v>
      </c>
      <c r="C286" s="1">
        <v>44957</v>
      </c>
      <c r="D286">
        <v>2023</v>
      </c>
      <c r="E286">
        <v>2023</v>
      </c>
      <c r="F286">
        <v>20</v>
      </c>
      <c r="H286" t="s">
        <v>460</v>
      </c>
      <c r="I286">
        <v>130</v>
      </c>
      <c r="J286">
        <v>0</v>
      </c>
      <c r="K286" t="s">
        <v>128</v>
      </c>
      <c r="S286" t="str">
        <f t="shared" si="25"/>
        <v>31</v>
      </c>
      <c r="T286" t="s">
        <v>122</v>
      </c>
      <c r="W286" t="s">
        <v>461</v>
      </c>
      <c r="Y286">
        <v>1645</v>
      </c>
      <c r="Z286" t="s">
        <v>432</v>
      </c>
      <c r="AB286" t="str">
        <f t="shared" si="26"/>
        <v>03341820276</v>
      </c>
      <c r="AC286" t="s">
        <v>67</v>
      </c>
      <c r="AF286">
        <v>2023</v>
      </c>
      <c r="AG286">
        <v>79</v>
      </c>
      <c r="AH286" t="str">
        <f t="shared" si="27"/>
        <v>1</v>
      </c>
      <c r="AI286" t="str">
        <f>"7"</f>
        <v>7</v>
      </c>
      <c r="AJ286" s="1">
        <v>44935</v>
      </c>
      <c r="AK286" t="s">
        <v>452</v>
      </c>
      <c r="AL286">
        <v>217.22</v>
      </c>
      <c r="AN286">
        <v>2023</v>
      </c>
      <c r="AO286">
        <v>101</v>
      </c>
      <c r="AP286">
        <v>164.82</v>
      </c>
      <c r="AQ286">
        <v>0</v>
      </c>
      <c r="AR286">
        <v>0</v>
      </c>
      <c r="BA286">
        <v>164.82</v>
      </c>
      <c r="BB286" s="1">
        <v>44957</v>
      </c>
    </row>
    <row r="287" spans="1:54" x14ac:dyDescent="0.25">
      <c r="A287">
        <v>2023</v>
      </c>
      <c r="B287">
        <v>95</v>
      </c>
      <c r="C287" s="1">
        <v>44957</v>
      </c>
      <c r="D287">
        <v>2023</v>
      </c>
      <c r="E287">
        <v>2023</v>
      </c>
      <c r="F287">
        <v>20</v>
      </c>
      <c r="H287" t="s">
        <v>460</v>
      </c>
      <c r="I287">
        <v>130</v>
      </c>
      <c r="J287">
        <v>0</v>
      </c>
      <c r="K287" t="s">
        <v>128</v>
      </c>
      <c r="S287" t="str">
        <f t="shared" si="25"/>
        <v>31</v>
      </c>
      <c r="T287" t="s">
        <v>122</v>
      </c>
      <c r="W287" t="s">
        <v>461</v>
      </c>
      <c r="Y287">
        <v>1645</v>
      </c>
      <c r="Z287" t="s">
        <v>432</v>
      </c>
      <c r="AB287" t="str">
        <f t="shared" si="26"/>
        <v>03341820276</v>
      </c>
      <c r="AC287" t="s">
        <v>67</v>
      </c>
      <c r="AF287">
        <v>2023</v>
      </c>
      <c r="AG287">
        <v>83</v>
      </c>
      <c r="AH287" t="str">
        <f t="shared" si="27"/>
        <v>1</v>
      </c>
      <c r="AI287" t="str">
        <f>"27"</f>
        <v>27</v>
      </c>
      <c r="AJ287" s="1">
        <v>44944</v>
      </c>
      <c r="AK287" t="s">
        <v>456</v>
      </c>
      <c r="AL287">
        <v>204.89</v>
      </c>
      <c r="AN287">
        <v>2023</v>
      </c>
      <c r="AO287">
        <v>101</v>
      </c>
      <c r="AP287">
        <v>186.32</v>
      </c>
      <c r="AQ287">
        <v>0</v>
      </c>
      <c r="AR287">
        <v>0</v>
      </c>
      <c r="BA287">
        <v>186.32</v>
      </c>
      <c r="BB287" s="1">
        <v>44957</v>
      </c>
    </row>
    <row r="288" spans="1:54" x14ac:dyDescent="0.25">
      <c r="A288">
        <v>2023</v>
      </c>
      <c r="B288">
        <v>96</v>
      </c>
      <c r="C288" s="1">
        <v>44957</v>
      </c>
      <c r="D288">
        <v>2023</v>
      </c>
      <c r="E288">
        <v>2022</v>
      </c>
      <c r="F288">
        <v>727</v>
      </c>
      <c r="H288" t="s">
        <v>132</v>
      </c>
      <c r="I288">
        <v>130</v>
      </c>
      <c r="J288">
        <v>0</v>
      </c>
      <c r="K288" t="s">
        <v>128</v>
      </c>
      <c r="S288" t="str">
        <f t="shared" si="25"/>
        <v>31</v>
      </c>
      <c r="T288" t="s">
        <v>122</v>
      </c>
      <c r="W288" t="s">
        <v>462</v>
      </c>
      <c r="Y288">
        <v>4574</v>
      </c>
      <c r="Z288" t="s">
        <v>134</v>
      </c>
      <c r="AB288" t="str">
        <f>"00997630322"</f>
        <v>00997630322</v>
      </c>
      <c r="AC288" t="s">
        <v>67</v>
      </c>
      <c r="AF288">
        <v>2023</v>
      </c>
      <c r="AG288">
        <v>61</v>
      </c>
      <c r="AH288" t="str">
        <f t="shared" si="27"/>
        <v>1</v>
      </c>
      <c r="AI288" t="str">
        <f>"34"</f>
        <v>34</v>
      </c>
      <c r="AJ288" s="1">
        <v>44957</v>
      </c>
      <c r="AK288" t="s">
        <v>463</v>
      </c>
      <c r="AL288" s="2">
        <v>8423.9599999999991</v>
      </c>
      <c r="AM288" t="str">
        <f>"8848880044"</f>
        <v>8848880044</v>
      </c>
      <c r="AN288">
        <v>2023</v>
      </c>
      <c r="AO288">
        <v>125</v>
      </c>
      <c r="AP288" s="2">
        <v>8022.82</v>
      </c>
      <c r="AQ288">
        <v>0</v>
      </c>
      <c r="AR288">
        <v>0</v>
      </c>
      <c r="BA288">
        <v>8022.82</v>
      </c>
      <c r="BB288" s="1">
        <v>44957</v>
      </c>
    </row>
    <row r="289" spans="1:54" x14ac:dyDescent="0.25">
      <c r="A289">
        <v>2023</v>
      </c>
      <c r="B289">
        <v>97</v>
      </c>
      <c r="C289" s="1">
        <v>44957</v>
      </c>
      <c r="D289">
        <v>2023</v>
      </c>
      <c r="E289">
        <v>2022</v>
      </c>
      <c r="F289">
        <v>727</v>
      </c>
      <c r="H289" t="s">
        <v>132</v>
      </c>
      <c r="I289">
        <v>130</v>
      </c>
      <c r="J289">
        <v>0</v>
      </c>
      <c r="K289" t="s">
        <v>128</v>
      </c>
      <c r="S289" t="str">
        <f t="shared" si="25"/>
        <v>31</v>
      </c>
      <c r="T289" t="s">
        <v>122</v>
      </c>
      <c r="W289" t="s">
        <v>462</v>
      </c>
      <c r="Y289">
        <v>4574</v>
      </c>
      <c r="Z289" t="s">
        <v>134</v>
      </c>
      <c r="AB289" t="str">
        <f>"00997630322"</f>
        <v>00997630322</v>
      </c>
      <c r="AC289" t="s">
        <v>60</v>
      </c>
      <c r="AF289">
        <v>2023</v>
      </c>
      <c r="AG289">
        <v>61</v>
      </c>
      <c r="AH289" t="str">
        <f t="shared" si="27"/>
        <v>1</v>
      </c>
      <c r="AI289" t="str">
        <f>"34"</f>
        <v>34</v>
      </c>
      <c r="AJ289" s="1">
        <v>44957</v>
      </c>
      <c r="AK289" t="s">
        <v>463</v>
      </c>
      <c r="AL289" s="2">
        <v>8423.9599999999991</v>
      </c>
      <c r="AM289" t="str">
        <f>"8848880044"</f>
        <v>8848880044</v>
      </c>
      <c r="AN289">
        <v>2023</v>
      </c>
      <c r="AO289">
        <v>125</v>
      </c>
      <c r="AP289">
        <v>401.14</v>
      </c>
      <c r="AQ289">
        <v>0</v>
      </c>
      <c r="AR289">
        <v>401.14</v>
      </c>
      <c r="AS289" t="s">
        <v>464</v>
      </c>
      <c r="AT289">
        <v>8022.82</v>
      </c>
      <c r="AU289">
        <v>401.14</v>
      </c>
      <c r="AV289">
        <v>2023</v>
      </c>
      <c r="AW289">
        <v>49</v>
      </c>
      <c r="AX289">
        <v>670</v>
      </c>
      <c r="AY289">
        <v>0</v>
      </c>
      <c r="AZ289" t="s">
        <v>465</v>
      </c>
      <c r="BA289">
        <v>401.14</v>
      </c>
      <c r="BB289" s="1">
        <v>44957</v>
      </c>
    </row>
    <row r="290" spans="1:54" x14ac:dyDescent="0.25">
      <c r="A290">
        <v>2023</v>
      </c>
      <c r="B290">
        <v>98</v>
      </c>
      <c r="C290" s="1">
        <v>44957</v>
      </c>
      <c r="D290">
        <v>2023</v>
      </c>
      <c r="E290">
        <v>2022</v>
      </c>
      <c r="F290">
        <v>74</v>
      </c>
      <c r="H290" t="s">
        <v>127</v>
      </c>
      <c r="I290">
        <v>130</v>
      </c>
      <c r="J290">
        <v>0</v>
      </c>
      <c r="K290" t="s">
        <v>128</v>
      </c>
      <c r="W290" t="s">
        <v>466</v>
      </c>
      <c r="Y290">
        <v>4056</v>
      </c>
      <c r="Z290" t="s">
        <v>130</v>
      </c>
      <c r="AB290" t="str">
        <f>"03773040138"</f>
        <v>03773040138</v>
      </c>
      <c r="AC290" t="s">
        <v>67</v>
      </c>
      <c r="AF290">
        <v>2023</v>
      </c>
      <c r="AG290">
        <v>88</v>
      </c>
      <c r="AH290" t="str">
        <f t="shared" si="27"/>
        <v>1</v>
      </c>
      <c r="AI290" t="str">
        <f>"15"</f>
        <v>15</v>
      </c>
      <c r="AJ290" s="1">
        <v>44938</v>
      </c>
      <c r="AK290" t="s">
        <v>467</v>
      </c>
      <c r="AL290" s="2">
        <v>2134.13</v>
      </c>
      <c r="AN290">
        <v>2023</v>
      </c>
      <c r="AO290">
        <v>122</v>
      </c>
      <c r="AP290" s="2">
        <v>2032.5</v>
      </c>
      <c r="AQ290">
        <v>0</v>
      </c>
      <c r="AR290">
        <v>0</v>
      </c>
      <c r="BA290">
        <v>2032.5</v>
      </c>
      <c r="BB290" s="1">
        <v>44957</v>
      </c>
    </row>
    <row r="291" spans="1:54" x14ac:dyDescent="0.25">
      <c r="A291">
        <v>2023</v>
      </c>
      <c r="B291">
        <v>99</v>
      </c>
      <c r="C291" s="1">
        <v>44957</v>
      </c>
      <c r="D291">
        <v>2023</v>
      </c>
      <c r="E291">
        <v>2022</v>
      </c>
      <c r="F291">
        <v>74</v>
      </c>
      <c r="H291" t="s">
        <v>127</v>
      </c>
      <c r="I291">
        <v>130</v>
      </c>
      <c r="J291">
        <v>0</v>
      </c>
      <c r="K291" t="s">
        <v>128</v>
      </c>
      <c r="W291" t="s">
        <v>466</v>
      </c>
      <c r="Y291">
        <v>4056</v>
      </c>
      <c r="Z291" t="s">
        <v>130</v>
      </c>
      <c r="AB291" t="str">
        <f>"03773040138"</f>
        <v>03773040138</v>
      </c>
      <c r="AC291" t="s">
        <v>60</v>
      </c>
      <c r="AF291">
        <v>2023</v>
      </c>
      <c r="AG291">
        <v>88</v>
      </c>
      <c r="AH291" t="str">
        <f t="shared" si="27"/>
        <v>1</v>
      </c>
      <c r="AI291" t="str">
        <f>"15"</f>
        <v>15</v>
      </c>
      <c r="AJ291" s="1">
        <v>44938</v>
      </c>
      <c r="AK291" t="s">
        <v>467</v>
      </c>
      <c r="AL291" s="2">
        <v>2134.13</v>
      </c>
      <c r="AN291">
        <v>2023</v>
      </c>
      <c r="AO291">
        <v>122</v>
      </c>
      <c r="AP291">
        <v>101.63</v>
      </c>
      <c r="AQ291">
        <v>0</v>
      </c>
      <c r="AR291">
        <v>101.63</v>
      </c>
      <c r="AS291" t="s">
        <v>464</v>
      </c>
      <c r="AT291">
        <v>2032.5</v>
      </c>
      <c r="AU291">
        <v>101.63</v>
      </c>
      <c r="AV291">
        <v>2023</v>
      </c>
      <c r="AW291">
        <v>50</v>
      </c>
      <c r="AX291">
        <v>670</v>
      </c>
      <c r="AY291">
        <v>0</v>
      </c>
      <c r="AZ291" t="s">
        <v>468</v>
      </c>
      <c r="BA291">
        <v>101.63</v>
      </c>
      <c r="BB291" s="1">
        <v>44957</v>
      </c>
    </row>
    <row r="292" spans="1:54" x14ac:dyDescent="0.25">
      <c r="A292">
        <v>2023</v>
      </c>
      <c r="B292">
        <v>100</v>
      </c>
      <c r="C292" s="1">
        <v>44957</v>
      </c>
      <c r="D292">
        <v>2023</v>
      </c>
      <c r="E292">
        <v>2022</v>
      </c>
      <c r="F292">
        <v>203</v>
      </c>
      <c r="H292" t="s">
        <v>136</v>
      </c>
      <c r="I292">
        <v>119</v>
      </c>
      <c r="J292">
        <v>0</v>
      </c>
      <c r="K292" t="s">
        <v>137</v>
      </c>
      <c r="S292" t="str">
        <f t="shared" ref="S292:S297" si="28">"30"</f>
        <v>30</v>
      </c>
      <c r="T292" t="s">
        <v>78</v>
      </c>
      <c r="W292" t="s">
        <v>469</v>
      </c>
      <c r="Y292">
        <v>2241</v>
      </c>
      <c r="Z292" t="s">
        <v>139</v>
      </c>
      <c r="AB292" t="str">
        <f>"07516911000"</f>
        <v>07516911000</v>
      </c>
      <c r="AC292" t="s">
        <v>67</v>
      </c>
      <c r="AF292">
        <v>2023</v>
      </c>
      <c r="AG292">
        <v>63</v>
      </c>
      <c r="AH292" t="str">
        <f t="shared" si="27"/>
        <v>1</v>
      </c>
      <c r="AI292" t="str">
        <f t="shared" ref="AI292:AI297" si="29">"32"</f>
        <v>32</v>
      </c>
      <c r="AJ292" s="1">
        <v>44956</v>
      </c>
      <c r="AK292" t="s">
        <v>470</v>
      </c>
      <c r="AL292">
        <v>125</v>
      </c>
      <c r="AM292" t="str">
        <f>"8923553700"</f>
        <v>8923553700</v>
      </c>
      <c r="AN292">
        <v>2023</v>
      </c>
      <c r="AO292">
        <v>87</v>
      </c>
      <c r="AP292">
        <v>102.46</v>
      </c>
      <c r="AQ292">
        <v>0</v>
      </c>
      <c r="AR292">
        <v>0</v>
      </c>
      <c r="BA292">
        <v>102.46</v>
      </c>
      <c r="BB292" s="1">
        <v>44957</v>
      </c>
    </row>
    <row r="293" spans="1:54" x14ac:dyDescent="0.25">
      <c r="A293">
        <v>2023</v>
      </c>
      <c r="B293">
        <v>101</v>
      </c>
      <c r="C293" s="1">
        <v>44957</v>
      </c>
      <c r="D293">
        <v>2023</v>
      </c>
      <c r="E293">
        <v>2022</v>
      </c>
      <c r="F293">
        <v>203</v>
      </c>
      <c r="H293" t="s">
        <v>136</v>
      </c>
      <c r="I293">
        <v>119</v>
      </c>
      <c r="J293">
        <v>0</v>
      </c>
      <c r="K293" t="s">
        <v>137</v>
      </c>
      <c r="S293" t="str">
        <f t="shared" si="28"/>
        <v>30</v>
      </c>
      <c r="T293" t="s">
        <v>78</v>
      </c>
      <c r="W293" t="s">
        <v>469</v>
      </c>
      <c r="Y293">
        <v>2241</v>
      </c>
      <c r="Z293" t="s">
        <v>139</v>
      </c>
      <c r="AB293" t="str">
        <f>"07516911000"</f>
        <v>07516911000</v>
      </c>
      <c r="AC293" t="s">
        <v>60</v>
      </c>
      <c r="AF293">
        <v>2023</v>
      </c>
      <c r="AG293">
        <v>63</v>
      </c>
      <c r="AH293" t="str">
        <f t="shared" si="27"/>
        <v>1</v>
      </c>
      <c r="AI293" t="str">
        <f t="shared" si="29"/>
        <v>32</v>
      </c>
      <c r="AJ293" s="1">
        <v>44956</v>
      </c>
      <c r="AK293" t="s">
        <v>470</v>
      </c>
      <c r="AL293">
        <v>125</v>
      </c>
      <c r="AM293" t="str">
        <f>"8923553700"</f>
        <v>8923553700</v>
      </c>
      <c r="AN293">
        <v>2023</v>
      </c>
      <c r="AO293">
        <v>87</v>
      </c>
      <c r="AP293">
        <v>22.54</v>
      </c>
      <c r="AQ293">
        <v>0</v>
      </c>
      <c r="AR293">
        <v>22.54</v>
      </c>
      <c r="AS293" t="s">
        <v>177</v>
      </c>
      <c r="AT293">
        <v>102.46</v>
      </c>
      <c r="AU293">
        <v>22.54</v>
      </c>
      <c r="AV293">
        <v>2023</v>
      </c>
      <c r="AW293">
        <v>51</v>
      </c>
      <c r="AX293">
        <v>670</v>
      </c>
      <c r="AY293">
        <v>0</v>
      </c>
      <c r="AZ293" t="s">
        <v>488</v>
      </c>
      <c r="BA293">
        <v>22.54</v>
      </c>
      <c r="BB293" s="1">
        <v>44957</v>
      </c>
    </row>
    <row r="294" spans="1:54" x14ac:dyDescent="0.25">
      <c r="A294">
        <v>2023</v>
      </c>
      <c r="B294">
        <v>102</v>
      </c>
      <c r="C294" s="1">
        <v>44957</v>
      </c>
      <c r="D294">
        <v>2023</v>
      </c>
      <c r="E294">
        <v>2022</v>
      </c>
      <c r="F294">
        <v>203</v>
      </c>
      <c r="H294" t="s">
        <v>136</v>
      </c>
      <c r="I294">
        <v>119</v>
      </c>
      <c r="J294">
        <v>0</v>
      </c>
      <c r="K294" t="s">
        <v>137</v>
      </c>
      <c r="S294" t="str">
        <f t="shared" si="28"/>
        <v>30</v>
      </c>
      <c r="T294" t="s">
        <v>78</v>
      </c>
      <c r="W294" t="s">
        <v>489</v>
      </c>
      <c r="Y294">
        <v>2167</v>
      </c>
      <c r="Z294" t="s">
        <v>142</v>
      </c>
      <c r="AB294" t="str">
        <f>"09771701001"</f>
        <v>09771701001</v>
      </c>
      <c r="AC294" t="s">
        <v>67</v>
      </c>
      <c r="AF294">
        <v>2023</v>
      </c>
      <c r="AG294">
        <v>62</v>
      </c>
      <c r="AH294" t="str">
        <f t="shared" si="27"/>
        <v>1</v>
      </c>
      <c r="AI294" t="str">
        <f t="shared" si="29"/>
        <v>32</v>
      </c>
      <c r="AJ294" s="1">
        <v>44956</v>
      </c>
      <c r="AK294" t="s">
        <v>490</v>
      </c>
      <c r="AL294">
        <v>3.66</v>
      </c>
      <c r="AM294" t="str">
        <f>"8922843112"</f>
        <v>8922843112</v>
      </c>
      <c r="AN294">
        <v>2023</v>
      </c>
      <c r="AO294">
        <v>88</v>
      </c>
      <c r="AP294">
        <v>3</v>
      </c>
      <c r="AQ294">
        <v>0</v>
      </c>
      <c r="AR294">
        <v>0</v>
      </c>
      <c r="BA294">
        <v>3</v>
      </c>
      <c r="BB294" s="1">
        <v>44957</v>
      </c>
    </row>
    <row r="295" spans="1:54" x14ac:dyDescent="0.25">
      <c r="A295">
        <v>2023</v>
      </c>
      <c r="B295">
        <v>103</v>
      </c>
      <c r="C295" s="1">
        <v>44957</v>
      </c>
      <c r="D295">
        <v>2023</v>
      </c>
      <c r="E295">
        <v>2022</v>
      </c>
      <c r="F295">
        <v>203</v>
      </c>
      <c r="H295" t="s">
        <v>136</v>
      </c>
      <c r="I295">
        <v>119</v>
      </c>
      <c r="J295">
        <v>0</v>
      </c>
      <c r="K295" t="s">
        <v>137</v>
      </c>
      <c r="S295" t="str">
        <f t="shared" si="28"/>
        <v>30</v>
      </c>
      <c r="T295" t="s">
        <v>78</v>
      </c>
      <c r="W295" t="s">
        <v>489</v>
      </c>
      <c r="Y295">
        <v>2167</v>
      </c>
      <c r="Z295" t="s">
        <v>142</v>
      </c>
      <c r="AB295" t="str">
        <f>"09771701001"</f>
        <v>09771701001</v>
      </c>
      <c r="AC295" t="s">
        <v>60</v>
      </c>
      <c r="AF295">
        <v>2023</v>
      </c>
      <c r="AG295">
        <v>62</v>
      </c>
      <c r="AH295" t="str">
        <f t="shared" si="27"/>
        <v>1</v>
      </c>
      <c r="AI295" t="str">
        <f t="shared" si="29"/>
        <v>32</v>
      </c>
      <c r="AJ295" s="1">
        <v>44956</v>
      </c>
      <c r="AK295" t="s">
        <v>490</v>
      </c>
      <c r="AL295">
        <v>3.66</v>
      </c>
      <c r="AM295" t="str">
        <f>"8922843112"</f>
        <v>8922843112</v>
      </c>
      <c r="AN295">
        <v>2023</v>
      </c>
      <c r="AO295">
        <v>88</v>
      </c>
      <c r="AP295">
        <v>0.66</v>
      </c>
      <c r="AQ295">
        <v>0</v>
      </c>
      <c r="AR295">
        <v>0.66</v>
      </c>
      <c r="AS295" t="s">
        <v>177</v>
      </c>
      <c r="AT295">
        <v>3</v>
      </c>
      <c r="AU295">
        <v>0.66</v>
      </c>
      <c r="AV295">
        <v>2023</v>
      </c>
      <c r="AW295">
        <v>52</v>
      </c>
      <c r="AX295">
        <v>670</v>
      </c>
      <c r="AY295">
        <v>0</v>
      </c>
      <c r="AZ295" t="s">
        <v>491</v>
      </c>
      <c r="BA295">
        <v>0.66</v>
      </c>
      <c r="BB295" s="1">
        <v>44957</v>
      </c>
    </row>
    <row r="296" spans="1:54" x14ac:dyDescent="0.25">
      <c r="A296">
        <v>2023</v>
      </c>
      <c r="B296">
        <v>104</v>
      </c>
      <c r="C296" s="1">
        <v>44957</v>
      </c>
      <c r="D296">
        <v>2023</v>
      </c>
      <c r="E296">
        <v>2022</v>
      </c>
      <c r="F296">
        <v>203</v>
      </c>
      <c r="H296" t="s">
        <v>136</v>
      </c>
      <c r="I296">
        <v>119</v>
      </c>
      <c r="J296">
        <v>0</v>
      </c>
      <c r="K296" t="s">
        <v>137</v>
      </c>
      <c r="S296" t="str">
        <f t="shared" si="28"/>
        <v>30</v>
      </c>
      <c r="T296" t="s">
        <v>78</v>
      </c>
      <c r="W296" t="s">
        <v>492</v>
      </c>
      <c r="Y296">
        <v>4497</v>
      </c>
      <c r="Z296" t="s">
        <v>493</v>
      </c>
      <c r="AB296" t="str">
        <f>"01301350219"</f>
        <v>01301350219</v>
      </c>
      <c r="AC296" t="s">
        <v>67</v>
      </c>
      <c r="AF296">
        <v>2023</v>
      </c>
      <c r="AG296">
        <v>64</v>
      </c>
      <c r="AH296" t="str">
        <f t="shared" si="27"/>
        <v>1</v>
      </c>
      <c r="AI296" t="str">
        <f t="shared" si="29"/>
        <v>32</v>
      </c>
      <c r="AJ296" s="1">
        <v>44956</v>
      </c>
      <c r="AK296" t="s">
        <v>494</v>
      </c>
      <c r="AL296">
        <v>13.01</v>
      </c>
      <c r="AM296" t="str">
        <f>"8922824590"</f>
        <v>8922824590</v>
      </c>
      <c r="AN296">
        <v>2023</v>
      </c>
      <c r="AO296">
        <v>89</v>
      </c>
      <c r="AP296">
        <v>10.66</v>
      </c>
      <c r="AQ296">
        <v>0</v>
      </c>
      <c r="AR296">
        <v>0</v>
      </c>
      <c r="BA296">
        <v>10.66</v>
      </c>
      <c r="BB296" s="1">
        <v>44957</v>
      </c>
    </row>
    <row r="297" spans="1:54" x14ac:dyDescent="0.25">
      <c r="A297">
        <v>2023</v>
      </c>
      <c r="B297">
        <v>105</v>
      </c>
      <c r="C297" s="1">
        <v>44957</v>
      </c>
      <c r="D297">
        <v>2023</v>
      </c>
      <c r="E297">
        <v>2022</v>
      </c>
      <c r="F297">
        <v>203</v>
      </c>
      <c r="H297" t="s">
        <v>136</v>
      </c>
      <c r="I297">
        <v>119</v>
      </c>
      <c r="J297">
        <v>0</v>
      </c>
      <c r="K297" t="s">
        <v>137</v>
      </c>
      <c r="S297" t="str">
        <f t="shared" si="28"/>
        <v>30</v>
      </c>
      <c r="T297" t="s">
        <v>78</v>
      </c>
      <c r="W297" t="s">
        <v>492</v>
      </c>
      <c r="Y297">
        <v>4497</v>
      </c>
      <c r="Z297" t="s">
        <v>493</v>
      </c>
      <c r="AB297" t="str">
        <f>"01301350219"</f>
        <v>01301350219</v>
      </c>
      <c r="AC297" t="s">
        <v>60</v>
      </c>
      <c r="AF297">
        <v>2023</v>
      </c>
      <c r="AG297">
        <v>64</v>
      </c>
      <c r="AH297" t="str">
        <f t="shared" si="27"/>
        <v>1</v>
      </c>
      <c r="AI297" t="str">
        <f t="shared" si="29"/>
        <v>32</v>
      </c>
      <c r="AJ297" s="1">
        <v>44956</v>
      </c>
      <c r="AK297" t="s">
        <v>494</v>
      </c>
      <c r="AL297">
        <v>13.01</v>
      </c>
      <c r="AM297" t="str">
        <f>"8922824590"</f>
        <v>8922824590</v>
      </c>
      <c r="AN297">
        <v>2023</v>
      </c>
      <c r="AO297">
        <v>89</v>
      </c>
      <c r="AP297">
        <v>2.35</v>
      </c>
      <c r="AQ297">
        <v>0</v>
      </c>
      <c r="AR297">
        <v>2.35</v>
      </c>
      <c r="AS297" t="s">
        <v>177</v>
      </c>
      <c r="AT297">
        <v>10.66</v>
      </c>
      <c r="AU297">
        <v>2.35</v>
      </c>
      <c r="AV297">
        <v>2023</v>
      </c>
      <c r="AW297">
        <v>53</v>
      </c>
      <c r="AX297">
        <v>670</v>
      </c>
      <c r="AY297">
        <v>0</v>
      </c>
      <c r="AZ297" t="s">
        <v>495</v>
      </c>
      <c r="BA297">
        <v>2.35</v>
      </c>
      <c r="BB297" s="1">
        <v>44957</v>
      </c>
    </row>
    <row r="298" spans="1:54" x14ac:dyDescent="0.25">
      <c r="A298">
        <v>2023</v>
      </c>
      <c r="B298">
        <v>106</v>
      </c>
      <c r="C298" s="1">
        <v>44957</v>
      </c>
      <c r="D298">
        <v>2023</v>
      </c>
      <c r="E298">
        <v>2022</v>
      </c>
      <c r="F298">
        <v>568</v>
      </c>
      <c r="H298" t="s">
        <v>496</v>
      </c>
      <c r="I298">
        <v>120</v>
      </c>
      <c r="J298">
        <v>0</v>
      </c>
      <c r="K298" t="s">
        <v>120</v>
      </c>
      <c r="R298" t="s">
        <v>497</v>
      </c>
      <c r="S298" t="str">
        <f t="shared" ref="S298:S318" si="30">"31"</f>
        <v>31</v>
      </c>
      <c r="T298" t="s">
        <v>122</v>
      </c>
      <c r="W298" t="s">
        <v>498</v>
      </c>
      <c r="Y298">
        <v>363</v>
      </c>
      <c r="Z298" t="s">
        <v>124</v>
      </c>
      <c r="AB298" t="str">
        <f t="shared" ref="AB298:AB303" si="31">"00484960588"</f>
        <v>00484960588</v>
      </c>
      <c r="AC298" t="s">
        <v>60</v>
      </c>
      <c r="AF298">
        <v>2023</v>
      </c>
      <c r="AG298">
        <v>89</v>
      </c>
      <c r="AH298" t="str">
        <f t="shared" si="27"/>
        <v>1</v>
      </c>
      <c r="AI298" t="str">
        <f>"30"</f>
        <v>30</v>
      </c>
      <c r="AJ298" s="1">
        <v>44944</v>
      </c>
      <c r="AK298" t="s">
        <v>499</v>
      </c>
      <c r="AL298" s="2">
        <v>6480.2</v>
      </c>
      <c r="AN298">
        <v>2023</v>
      </c>
      <c r="AO298">
        <v>90</v>
      </c>
      <c r="AP298" s="2">
        <v>1168.56</v>
      </c>
      <c r="AQ298">
        <v>0</v>
      </c>
      <c r="AR298" s="2">
        <v>1168.56</v>
      </c>
      <c r="AS298" t="s">
        <v>177</v>
      </c>
      <c r="AT298">
        <v>5311.64</v>
      </c>
      <c r="AU298">
        <v>1168.56</v>
      </c>
      <c r="AV298">
        <v>2023</v>
      </c>
      <c r="AW298">
        <v>54</v>
      </c>
      <c r="AX298">
        <v>670</v>
      </c>
      <c r="AY298">
        <v>0</v>
      </c>
      <c r="AZ298" t="s">
        <v>500</v>
      </c>
      <c r="BA298">
        <v>1168.56</v>
      </c>
      <c r="BB298" s="1">
        <v>44957</v>
      </c>
    </row>
    <row r="299" spans="1:54" x14ac:dyDescent="0.25">
      <c r="A299">
        <v>2023</v>
      </c>
      <c r="B299">
        <v>107</v>
      </c>
      <c r="C299" s="1">
        <v>44957</v>
      </c>
      <c r="D299">
        <v>2023</v>
      </c>
      <c r="E299">
        <v>2022</v>
      </c>
      <c r="F299">
        <v>568</v>
      </c>
      <c r="H299" t="s">
        <v>496</v>
      </c>
      <c r="I299">
        <v>120</v>
      </c>
      <c r="J299">
        <v>0</v>
      </c>
      <c r="K299" t="s">
        <v>120</v>
      </c>
      <c r="R299" t="s">
        <v>497</v>
      </c>
      <c r="S299" t="str">
        <f t="shared" si="30"/>
        <v>31</v>
      </c>
      <c r="T299" t="s">
        <v>122</v>
      </c>
      <c r="W299" t="s">
        <v>498</v>
      </c>
      <c r="Y299">
        <v>363</v>
      </c>
      <c r="Z299" t="s">
        <v>124</v>
      </c>
      <c r="AB299" t="str">
        <f t="shared" si="31"/>
        <v>00484960588</v>
      </c>
      <c r="AC299" t="s">
        <v>67</v>
      </c>
      <c r="AF299">
        <v>2023</v>
      </c>
      <c r="AG299">
        <v>89</v>
      </c>
      <c r="AH299" t="str">
        <f t="shared" si="27"/>
        <v>1</v>
      </c>
      <c r="AI299" t="str">
        <f>"30"</f>
        <v>30</v>
      </c>
      <c r="AJ299" s="1">
        <v>44944</v>
      </c>
      <c r="AK299" t="s">
        <v>499</v>
      </c>
      <c r="AL299" s="2">
        <v>6480.2</v>
      </c>
      <c r="AN299">
        <v>2023</v>
      </c>
      <c r="AO299">
        <v>90</v>
      </c>
      <c r="AP299" s="2">
        <v>3629.42</v>
      </c>
      <c r="AQ299">
        <v>0</v>
      </c>
      <c r="AR299">
        <v>0</v>
      </c>
      <c r="BA299">
        <v>3629.42</v>
      </c>
      <c r="BB299" s="1">
        <v>44957</v>
      </c>
    </row>
    <row r="300" spans="1:54" x14ac:dyDescent="0.25">
      <c r="A300">
        <v>2023</v>
      </c>
      <c r="B300">
        <v>108</v>
      </c>
      <c r="C300" s="1">
        <v>44957</v>
      </c>
      <c r="D300">
        <v>2023</v>
      </c>
      <c r="E300">
        <v>2022</v>
      </c>
      <c r="F300">
        <v>721</v>
      </c>
      <c r="H300" t="s">
        <v>501</v>
      </c>
      <c r="I300">
        <v>120</v>
      </c>
      <c r="J300">
        <v>0</v>
      </c>
      <c r="K300" t="s">
        <v>120</v>
      </c>
      <c r="R300" t="s">
        <v>502</v>
      </c>
      <c r="S300" t="str">
        <f t="shared" si="30"/>
        <v>31</v>
      </c>
      <c r="T300" t="s">
        <v>122</v>
      </c>
      <c r="W300" t="s">
        <v>503</v>
      </c>
      <c r="Y300">
        <v>363</v>
      </c>
      <c r="Z300" t="s">
        <v>124</v>
      </c>
      <c r="AB300" t="str">
        <f t="shared" si="31"/>
        <v>00484960588</v>
      </c>
      <c r="AC300" t="s">
        <v>67</v>
      </c>
      <c r="AF300">
        <v>2023</v>
      </c>
      <c r="AG300">
        <v>89</v>
      </c>
      <c r="AH300" t="str">
        <f t="shared" si="27"/>
        <v>1</v>
      </c>
      <c r="AI300" t="str">
        <f>"30"</f>
        <v>30</v>
      </c>
      <c r="AJ300" s="1">
        <v>44944</v>
      </c>
      <c r="AK300" t="s">
        <v>499</v>
      </c>
      <c r="AL300" s="2">
        <v>6480.2</v>
      </c>
      <c r="AN300">
        <v>2023</v>
      </c>
      <c r="AO300">
        <v>91</v>
      </c>
      <c r="AP300" s="2">
        <v>1682.22</v>
      </c>
      <c r="AQ300">
        <v>0</v>
      </c>
      <c r="AR300">
        <v>0</v>
      </c>
      <c r="BA300">
        <v>1682.22</v>
      </c>
      <c r="BB300" s="1">
        <v>44957</v>
      </c>
    </row>
    <row r="301" spans="1:54" x14ac:dyDescent="0.25">
      <c r="A301">
        <v>2023</v>
      </c>
      <c r="B301">
        <v>109</v>
      </c>
      <c r="C301" s="1">
        <v>44957</v>
      </c>
      <c r="D301">
        <v>2023</v>
      </c>
      <c r="E301">
        <v>2022</v>
      </c>
      <c r="F301">
        <v>721</v>
      </c>
      <c r="H301" t="s">
        <v>501</v>
      </c>
      <c r="I301">
        <v>120</v>
      </c>
      <c r="J301">
        <v>0</v>
      </c>
      <c r="K301" t="s">
        <v>120</v>
      </c>
      <c r="R301" t="s">
        <v>502</v>
      </c>
      <c r="S301" t="str">
        <f t="shared" si="30"/>
        <v>31</v>
      </c>
      <c r="T301" t="s">
        <v>122</v>
      </c>
      <c r="W301" t="s">
        <v>504</v>
      </c>
      <c r="Y301">
        <v>363</v>
      </c>
      <c r="Z301" t="s">
        <v>124</v>
      </c>
      <c r="AB301" t="str">
        <f t="shared" si="31"/>
        <v>00484960588</v>
      </c>
      <c r="AC301" t="s">
        <v>60</v>
      </c>
      <c r="AF301">
        <v>2023</v>
      </c>
      <c r="AG301">
        <v>20</v>
      </c>
      <c r="AH301" t="str">
        <f t="shared" si="27"/>
        <v>1</v>
      </c>
      <c r="AI301" t="str">
        <f>"33"</f>
        <v>33</v>
      </c>
      <c r="AJ301" s="1">
        <v>44956</v>
      </c>
      <c r="AK301" t="s">
        <v>505</v>
      </c>
      <c r="AL301" s="2">
        <v>4284.34</v>
      </c>
      <c r="AM301" t="str">
        <f>"8772413555"</f>
        <v>8772413555</v>
      </c>
      <c r="AN301">
        <v>2023</v>
      </c>
      <c r="AO301">
        <v>92</v>
      </c>
      <c r="AP301">
        <v>769.88</v>
      </c>
      <c r="AQ301">
        <v>0</v>
      </c>
      <c r="AR301">
        <v>769.88</v>
      </c>
      <c r="AS301" t="s">
        <v>177</v>
      </c>
      <c r="AT301">
        <v>3499.46</v>
      </c>
      <c r="AU301">
        <v>769.88</v>
      </c>
      <c r="AV301">
        <v>2023</v>
      </c>
      <c r="AW301">
        <v>55</v>
      </c>
      <c r="AX301">
        <v>670</v>
      </c>
      <c r="AY301">
        <v>0</v>
      </c>
      <c r="AZ301" t="s">
        <v>506</v>
      </c>
      <c r="BA301">
        <v>769.88</v>
      </c>
      <c r="BB301" s="1">
        <v>44957</v>
      </c>
    </row>
    <row r="302" spans="1:54" x14ac:dyDescent="0.25">
      <c r="A302">
        <v>2023</v>
      </c>
      <c r="B302">
        <v>110</v>
      </c>
      <c r="C302" s="1">
        <v>44957</v>
      </c>
      <c r="D302">
        <v>2023</v>
      </c>
      <c r="E302">
        <v>2022</v>
      </c>
      <c r="F302">
        <v>721</v>
      </c>
      <c r="H302" t="s">
        <v>501</v>
      </c>
      <c r="I302">
        <v>120</v>
      </c>
      <c r="J302">
        <v>0</v>
      </c>
      <c r="K302" t="s">
        <v>120</v>
      </c>
      <c r="R302" t="s">
        <v>502</v>
      </c>
      <c r="S302" t="str">
        <f t="shared" si="30"/>
        <v>31</v>
      </c>
      <c r="T302" t="s">
        <v>122</v>
      </c>
      <c r="W302" t="s">
        <v>504</v>
      </c>
      <c r="Y302">
        <v>363</v>
      </c>
      <c r="Z302" t="s">
        <v>124</v>
      </c>
      <c r="AB302" t="str">
        <f t="shared" si="31"/>
        <v>00484960588</v>
      </c>
      <c r="AC302" t="s">
        <v>67</v>
      </c>
      <c r="AF302">
        <v>2023</v>
      </c>
      <c r="AG302">
        <v>20</v>
      </c>
      <c r="AH302" t="str">
        <f t="shared" si="27"/>
        <v>1</v>
      </c>
      <c r="AI302" t="str">
        <f>"33"</f>
        <v>33</v>
      </c>
      <c r="AJ302" s="1">
        <v>44956</v>
      </c>
      <c r="AK302" t="s">
        <v>505</v>
      </c>
      <c r="AL302" s="2">
        <v>4284.34</v>
      </c>
      <c r="AM302" t="str">
        <f>"8772413555"</f>
        <v>8772413555</v>
      </c>
      <c r="AN302">
        <v>2023</v>
      </c>
      <c r="AO302">
        <v>92</v>
      </c>
      <c r="AP302" s="2">
        <v>2547.9</v>
      </c>
      <c r="AQ302">
        <v>0</v>
      </c>
      <c r="AR302">
        <v>0</v>
      </c>
      <c r="BA302">
        <v>2547.9</v>
      </c>
      <c r="BB302" s="1">
        <v>44957</v>
      </c>
    </row>
    <row r="303" spans="1:54" x14ac:dyDescent="0.25">
      <c r="A303">
        <v>2023</v>
      </c>
      <c r="B303">
        <v>111</v>
      </c>
      <c r="C303" s="1">
        <v>44957</v>
      </c>
      <c r="D303">
        <v>2023</v>
      </c>
      <c r="E303">
        <v>2020</v>
      </c>
      <c r="F303">
        <v>101</v>
      </c>
      <c r="H303" t="s">
        <v>119</v>
      </c>
      <c r="I303">
        <v>120</v>
      </c>
      <c r="J303">
        <v>0</v>
      </c>
      <c r="K303" t="s">
        <v>120</v>
      </c>
      <c r="R303" t="s">
        <v>121</v>
      </c>
      <c r="S303" t="str">
        <f t="shared" si="30"/>
        <v>31</v>
      </c>
      <c r="T303" t="s">
        <v>122</v>
      </c>
      <c r="W303" t="s">
        <v>507</v>
      </c>
      <c r="Y303">
        <v>363</v>
      </c>
      <c r="Z303" t="s">
        <v>124</v>
      </c>
      <c r="AB303" t="str">
        <f t="shared" si="31"/>
        <v>00484960588</v>
      </c>
      <c r="AC303" t="s">
        <v>67</v>
      </c>
      <c r="AF303">
        <v>2023</v>
      </c>
      <c r="AG303">
        <v>20</v>
      </c>
      <c r="AH303" t="str">
        <f t="shared" si="27"/>
        <v>1</v>
      </c>
      <c r="AI303" t="str">
        <f>"33"</f>
        <v>33</v>
      </c>
      <c r="AJ303" s="1">
        <v>44956</v>
      </c>
      <c r="AK303" t="s">
        <v>505</v>
      </c>
      <c r="AL303" s="2">
        <v>4284.34</v>
      </c>
      <c r="AM303" t="str">
        <f>"8772413555"</f>
        <v>8772413555</v>
      </c>
      <c r="AN303">
        <v>2023</v>
      </c>
      <c r="AO303">
        <v>93</v>
      </c>
      <c r="AP303">
        <v>966.56</v>
      </c>
      <c r="AQ303">
        <v>0</v>
      </c>
      <c r="AR303">
        <v>0</v>
      </c>
      <c r="BA303">
        <v>966.56</v>
      </c>
      <c r="BB303" s="1">
        <v>44957</v>
      </c>
    </row>
    <row r="304" spans="1:54" x14ac:dyDescent="0.25">
      <c r="A304">
        <v>2023</v>
      </c>
      <c r="B304">
        <v>112</v>
      </c>
      <c r="C304" s="1">
        <v>44957</v>
      </c>
      <c r="D304">
        <v>2023</v>
      </c>
      <c r="E304">
        <v>2023</v>
      </c>
      <c r="F304">
        <v>5</v>
      </c>
      <c r="H304" t="s">
        <v>508</v>
      </c>
      <c r="I304">
        <v>151</v>
      </c>
      <c r="J304">
        <v>0</v>
      </c>
      <c r="K304" t="s">
        <v>509</v>
      </c>
      <c r="R304" t="s">
        <v>510</v>
      </c>
      <c r="S304" t="str">
        <f t="shared" si="30"/>
        <v>31</v>
      </c>
      <c r="T304" t="s">
        <v>122</v>
      </c>
      <c r="W304" t="s">
        <v>511</v>
      </c>
      <c r="Y304">
        <v>3694</v>
      </c>
      <c r="Z304" t="s">
        <v>512</v>
      </c>
      <c r="AB304" t="str">
        <f t="shared" ref="AB304:AB318" si="32">"13070370153"</f>
        <v>13070370153</v>
      </c>
      <c r="AC304" t="s">
        <v>60</v>
      </c>
      <c r="AF304">
        <v>2022</v>
      </c>
      <c r="AG304">
        <v>3800</v>
      </c>
      <c r="AH304" t="str">
        <f t="shared" ref="AH304:AH322" si="33">"1"</f>
        <v>1</v>
      </c>
      <c r="AI304" t="s">
        <v>513</v>
      </c>
      <c r="AJ304" s="1">
        <v>44902</v>
      </c>
      <c r="AK304" t="s">
        <v>514</v>
      </c>
      <c r="AL304">
        <v>-205.02</v>
      </c>
      <c r="AM304" t="str">
        <f>"8659825912"</f>
        <v>8659825912</v>
      </c>
      <c r="AN304">
        <v>2023</v>
      </c>
      <c r="AO304">
        <v>146</v>
      </c>
      <c r="AP304">
        <v>-36.97</v>
      </c>
      <c r="AQ304">
        <v>0</v>
      </c>
      <c r="AR304">
        <v>471.78</v>
      </c>
      <c r="AS304" t="s">
        <v>177</v>
      </c>
      <c r="AT304">
        <v>-168.05</v>
      </c>
      <c r="AU304">
        <v>-36.97</v>
      </c>
      <c r="AV304">
        <v>2023</v>
      </c>
      <c r="AW304">
        <v>56</v>
      </c>
      <c r="AX304">
        <v>670</v>
      </c>
      <c r="AY304">
        <v>0</v>
      </c>
      <c r="AZ304" t="s">
        <v>515</v>
      </c>
      <c r="BA304">
        <v>-36.97</v>
      </c>
      <c r="BB304" s="1">
        <v>44957</v>
      </c>
    </row>
    <row r="305" spans="1:54" x14ac:dyDescent="0.25">
      <c r="A305">
        <v>2023</v>
      </c>
      <c r="B305">
        <v>112</v>
      </c>
      <c r="C305" s="1">
        <v>44957</v>
      </c>
      <c r="D305">
        <v>2023</v>
      </c>
      <c r="E305">
        <v>2023</v>
      </c>
      <c r="F305">
        <v>5</v>
      </c>
      <c r="H305" t="s">
        <v>508</v>
      </c>
      <c r="I305">
        <v>151</v>
      </c>
      <c r="J305">
        <v>0</v>
      </c>
      <c r="K305" t="s">
        <v>509</v>
      </c>
      <c r="R305" t="s">
        <v>510</v>
      </c>
      <c r="S305" t="str">
        <f t="shared" si="30"/>
        <v>31</v>
      </c>
      <c r="T305" t="s">
        <v>122</v>
      </c>
      <c r="W305" t="s">
        <v>511</v>
      </c>
      <c r="Y305">
        <v>3694</v>
      </c>
      <c r="Z305" t="s">
        <v>512</v>
      </c>
      <c r="AB305" t="str">
        <f t="shared" si="32"/>
        <v>13070370153</v>
      </c>
      <c r="AC305" t="s">
        <v>60</v>
      </c>
      <c r="AF305">
        <v>2022</v>
      </c>
      <c r="AG305">
        <v>3801</v>
      </c>
      <c r="AH305" t="str">
        <f t="shared" si="33"/>
        <v>1</v>
      </c>
      <c r="AI305" t="s">
        <v>516</v>
      </c>
      <c r="AJ305" s="1">
        <v>44902</v>
      </c>
      <c r="AK305" t="s">
        <v>514</v>
      </c>
      <c r="AL305">
        <v>-231.68</v>
      </c>
      <c r="AM305" t="str">
        <f>"8659825909"</f>
        <v>8659825909</v>
      </c>
      <c r="AN305">
        <v>2023</v>
      </c>
      <c r="AO305">
        <v>146</v>
      </c>
      <c r="AP305">
        <v>-41.78</v>
      </c>
      <c r="AQ305">
        <v>0</v>
      </c>
      <c r="AR305">
        <v>471.78</v>
      </c>
      <c r="AS305" t="s">
        <v>177</v>
      </c>
      <c r="AT305">
        <v>-189.9</v>
      </c>
      <c r="AU305">
        <v>-41.78</v>
      </c>
      <c r="AV305">
        <v>2023</v>
      </c>
      <c r="AW305">
        <v>56</v>
      </c>
      <c r="AX305">
        <v>670</v>
      </c>
      <c r="AY305">
        <v>0</v>
      </c>
      <c r="AZ305" t="s">
        <v>515</v>
      </c>
      <c r="BA305">
        <v>-41.78</v>
      </c>
      <c r="BB305" s="1">
        <v>44957</v>
      </c>
    </row>
    <row r="306" spans="1:54" x14ac:dyDescent="0.25">
      <c r="A306">
        <v>2023</v>
      </c>
      <c r="B306">
        <v>112</v>
      </c>
      <c r="C306" s="1">
        <v>44957</v>
      </c>
      <c r="D306">
        <v>2023</v>
      </c>
      <c r="E306">
        <v>2023</v>
      </c>
      <c r="F306">
        <v>5</v>
      </c>
      <c r="H306" t="s">
        <v>508</v>
      </c>
      <c r="I306">
        <v>151</v>
      </c>
      <c r="J306">
        <v>0</v>
      </c>
      <c r="K306" t="s">
        <v>509</v>
      </c>
      <c r="R306" t="s">
        <v>510</v>
      </c>
      <c r="S306" t="str">
        <f t="shared" si="30"/>
        <v>31</v>
      </c>
      <c r="T306" t="s">
        <v>122</v>
      </c>
      <c r="W306" t="s">
        <v>511</v>
      </c>
      <c r="Y306">
        <v>3694</v>
      </c>
      <c r="Z306" t="s">
        <v>512</v>
      </c>
      <c r="AB306" t="str">
        <f t="shared" si="32"/>
        <v>13070370153</v>
      </c>
      <c r="AC306" t="s">
        <v>60</v>
      </c>
      <c r="AF306">
        <v>2023</v>
      </c>
      <c r="AG306">
        <v>93</v>
      </c>
      <c r="AH306" t="str">
        <f t="shared" si="33"/>
        <v>1</v>
      </c>
      <c r="AI306" t="str">
        <f t="shared" ref="AI306:AI311" si="34">"1"</f>
        <v>1</v>
      </c>
      <c r="AJ306" s="1">
        <v>44928</v>
      </c>
      <c r="AK306" t="s">
        <v>517</v>
      </c>
      <c r="AL306" s="2">
        <v>3052.95</v>
      </c>
      <c r="AN306">
        <v>2023</v>
      </c>
      <c r="AO306">
        <v>145</v>
      </c>
      <c r="AP306">
        <v>550.53</v>
      </c>
      <c r="AQ306">
        <v>0</v>
      </c>
      <c r="AR306">
        <v>471.78</v>
      </c>
      <c r="AS306" t="s">
        <v>177</v>
      </c>
      <c r="AT306">
        <v>2502.42</v>
      </c>
      <c r="AU306">
        <v>550.53</v>
      </c>
      <c r="AV306">
        <v>2023</v>
      </c>
      <c r="AW306">
        <v>56</v>
      </c>
      <c r="AX306">
        <v>670</v>
      </c>
      <c r="AY306">
        <v>0</v>
      </c>
      <c r="AZ306" t="s">
        <v>515</v>
      </c>
      <c r="BA306">
        <v>550.53</v>
      </c>
      <c r="BB306" s="1">
        <v>44957</v>
      </c>
    </row>
    <row r="307" spans="1:54" x14ac:dyDescent="0.25">
      <c r="A307">
        <v>2023</v>
      </c>
      <c r="B307">
        <v>113</v>
      </c>
      <c r="C307" s="1">
        <v>44957</v>
      </c>
      <c r="D307">
        <v>2023</v>
      </c>
      <c r="E307">
        <v>2022</v>
      </c>
      <c r="F307">
        <v>624</v>
      </c>
      <c r="H307" t="s">
        <v>518</v>
      </c>
      <c r="I307">
        <v>151</v>
      </c>
      <c r="J307">
        <v>0</v>
      </c>
      <c r="K307" t="s">
        <v>509</v>
      </c>
      <c r="R307" t="s">
        <v>519</v>
      </c>
      <c r="S307" t="str">
        <f t="shared" si="30"/>
        <v>31</v>
      </c>
      <c r="T307" t="s">
        <v>122</v>
      </c>
      <c r="W307" t="s">
        <v>520</v>
      </c>
      <c r="Y307">
        <v>3694</v>
      </c>
      <c r="Z307" t="s">
        <v>512</v>
      </c>
      <c r="AB307" t="str">
        <f t="shared" si="32"/>
        <v>13070370153</v>
      </c>
      <c r="AC307" t="s">
        <v>67</v>
      </c>
      <c r="AF307">
        <v>2023</v>
      </c>
      <c r="AG307">
        <v>93</v>
      </c>
      <c r="AH307" t="str">
        <f t="shared" si="33"/>
        <v>1</v>
      </c>
      <c r="AI307" t="str">
        <f t="shared" si="34"/>
        <v>1</v>
      </c>
      <c r="AJ307" s="1">
        <v>44928</v>
      </c>
      <c r="AK307" t="s">
        <v>517</v>
      </c>
      <c r="AL307" s="2">
        <v>3052.95</v>
      </c>
      <c r="AN307">
        <v>2023</v>
      </c>
      <c r="AO307">
        <v>144</v>
      </c>
      <c r="AP307" s="2">
        <v>1344.95</v>
      </c>
      <c r="AQ307">
        <v>0</v>
      </c>
      <c r="AR307">
        <v>0</v>
      </c>
      <c r="BA307">
        <v>1344.95</v>
      </c>
      <c r="BB307" s="1">
        <v>44957</v>
      </c>
    </row>
    <row r="308" spans="1:54" x14ac:dyDescent="0.25">
      <c r="A308">
        <v>2023</v>
      </c>
      <c r="B308">
        <v>114</v>
      </c>
      <c r="C308" s="1">
        <v>44957</v>
      </c>
      <c r="D308">
        <v>2023</v>
      </c>
      <c r="E308">
        <v>2023</v>
      </c>
      <c r="F308">
        <v>5</v>
      </c>
      <c r="H308" t="s">
        <v>508</v>
      </c>
      <c r="I308">
        <v>151</v>
      </c>
      <c r="J308">
        <v>0</v>
      </c>
      <c r="K308" t="s">
        <v>509</v>
      </c>
      <c r="R308" t="s">
        <v>510</v>
      </c>
      <c r="S308" t="str">
        <f t="shared" si="30"/>
        <v>31</v>
      </c>
      <c r="T308" t="s">
        <v>122</v>
      </c>
      <c r="W308" t="s">
        <v>521</v>
      </c>
      <c r="Y308">
        <v>3694</v>
      </c>
      <c r="Z308" t="s">
        <v>512</v>
      </c>
      <c r="AB308" t="str">
        <f t="shared" si="32"/>
        <v>13070370153</v>
      </c>
      <c r="AC308" t="s">
        <v>60</v>
      </c>
      <c r="AF308">
        <v>2023</v>
      </c>
      <c r="AG308">
        <v>92</v>
      </c>
      <c r="AH308" t="str">
        <f t="shared" si="33"/>
        <v>1</v>
      </c>
      <c r="AI308" t="str">
        <f t="shared" si="34"/>
        <v>1</v>
      </c>
      <c r="AJ308" s="1">
        <v>44928</v>
      </c>
      <c r="AK308" t="s">
        <v>522</v>
      </c>
      <c r="AL308">
        <v>811.3</v>
      </c>
      <c r="AN308">
        <v>2023</v>
      </c>
      <c r="AO308">
        <v>145</v>
      </c>
      <c r="AP308">
        <v>146.30000000000001</v>
      </c>
      <c r="AQ308">
        <v>0</v>
      </c>
      <c r="AR308">
        <v>146.30000000000001</v>
      </c>
      <c r="AS308" t="s">
        <v>177</v>
      </c>
      <c r="AT308">
        <v>665</v>
      </c>
      <c r="AU308">
        <v>146.30000000000001</v>
      </c>
      <c r="AV308">
        <v>2023</v>
      </c>
      <c r="AW308">
        <v>57</v>
      </c>
      <c r="AX308">
        <v>670</v>
      </c>
      <c r="AY308">
        <v>0</v>
      </c>
      <c r="AZ308" t="s">
        <v>523</v>
      </c>
      <c r="BA308">
        <v>146.30000000000001</v>
      </c>
      <c r="BB308" s="1">
        <v>44957</v>
      </c>
    </row>
    <row r="309" spans="1:54" x14ac:dyDescent="0.25">
      <c r="A309">
        <v>2023</v>
      </c>
      <c r="B309">
        <v>115</v>
      </c>
      <c r="C309" s="1">
        <v>44957</v>
      </c>
      <c r="D309">
        <v>2023</v>
      </c>
      <c r="E309">
        <v>2023</v>
      </c>
      <c r="F309">
        <v>5</v>
      </c>
      <c r="H309" t="s">
        <v>508</v>
      </c>
      <c r="I309">
        <v>151</v>
      </c>
      <c r="J309">
        <v>0</v>
      </c>
      <c r="K309" t="s">
        <v>509</v>
      </c>
      <c r="R309" t="s">
        <v>510</v>
      </c>
      <c r="S309" t="str">
        <f t="shared" si="30"/>
        <v>31</v>
      </c>
      <c r="T309" t="s">
        <v>122</v>
      </c>
      <c r="W309" t="s">
        <v>521</v>
      </c>
      <c r="Y309">
        <v>3694</v>
      </c>
      <c r="Z309" t="s">
        <v>512</v>
      </c>
      <c r="AB309" t="str">
        <f t="shared" si="32"/>
        <v>13070370153</v>
      </c>
      <c r="AC309" t="s">
        <v>67</v>
      </c>
      <c r="AF309">
        <v>2023</v>
      </c>
      <c r="AG309">
        <v>92</v>
      </c>
      <c r="AH309" t="str">
        <f t="shared" si="33"/>
        <v>1</v>
      </c>
      <c r="AI309" t="str">
        <f t="shared" si="34"/>
        <v>1</v>
      </c>
      <c r="AJ309" s="1">
        <v>44928</v>
      </c>
      <c r="AK309" t="s">
        <v>522</v>
      </c>
      <c r="AL309">
        <v>811.3</v>
      </c>
      <c r="AN309">
        <v>2023</v>
      </c>
      <c r="AO309">
        <v>145</v>
      </c>
      <c r="AP309">
        <v>665</v>
      </c>
      <c r="AQ309">
        <v>0</v>
      </c>
      <c r="AR309">
        <v>0</v>
      </c>
      <c r="BA309">
        <v>665</v>
      </c>
      <c r="BB309" s="1">
        <v>44957</v>
      </c>
    </row>
    <row r="310" spans="1:54" x14ac:dyDescent="0.25">
      <c r="A310">
        <v>2023</v>
      </c>
      <c r="B310">
        <v>116</v>
      </c>
      <c r="C310" s="1">
        <v>44957</v>
      </c>
      <c r="D310">
        <v>2023</v>
      </c>
      <c r="E310">
        <v>2023</v>
      </c>
      <c r="F310">
        <v>5</v>
      </c>
      <c r="H310" t="s">
        <v>508</v>
      </c>
      <c r="I310">
        <v>151</v>
      </c>
      <c r="J310">
        <v>0</v>
      </c>
      <c r="K310" t="s">
        <v>509</v>
      </c>
      <c r="R310" t="s">
        <v>510</v>
      </c>
      <c r="S310" t="str">
        <f t="shared" si="30"/>
        <v>31</v>
      </c>
      <c r="T310" t="s">
        <v>122</v>
      </c>
      <c r="W310" t="s">
        <v>524</v>
      </c>
      <c r="Y310">
        <v>3694</v>
      </c>
      <c r="Z310" t="s">
        <v>512</v>
      </c>
      <c r="AB310" t="str">
        <f t="shared" si="32"/>
        <v>13070370153</v>
      </c>
      <c r="AC310" t="s">
        <v>67</v>
      </c>
      <c r="AF310">
        <v>2023</v>
      </c>
      <c r="AG310">
        <v>91</v>
      </c>
      <c r="AH310" t="str">
        <f t="shared" si="33"/>
        <v>1</v>
      </c>
      <c r="AI310" t="str">
        <f t="shared" si="34"/>
        <v>1</v>
      </c>
      <c r="AJ310" s="1">
        <v>44928</v>
      </c>
      <c r="AK310" t="s">
        <v>525</v>
      </c>
      <c r="AL310">
        <v>106.2</v>
      </c>
      <c r="AN310">
        <v>2023</v>
      </c>
      <c r="AO310">
        <v>145</v>
      </c>
      <c r="AP310">
        <v>106.2</v>
      </c>
      <c r="AQ310">
        <v>0</v>
      </c>
      <c r="AR310">
        <v>0</v>
      </c>
      <c r="BA310">
        <v>106.2</v>
      </c>
      <c r="BB310" s="1">
        <v>44957</v>
      </c>
    </row>
    <row r="311" spans="1:54" x14ac:dyDescent="0.25">
      <c r="A311">
        <v>2023</v>
      </c>
      <c r="B311">
        <v>117</v>
      </c>
      <c r="C311" s="1">
        <v>44957</v>
      </c>
      <c r="D311">
        <v>2023</v>
      </c>
      <c r="E311">
        <v>2023</v>
      </c>
      <c r="F311">
        <v>5</v>
      </c>
      <c r="H311" t="s">
        <v>508</v>
      </c>
      <c r="I311">
        <v>151</v>
      </c>
      <c r="J311">
        <v>0</v>
      </c>
      <c r="K311" t="s">
        <v>509</v>
      </c>
      <c r="R311" t="s">
        <v>510</v>
      </c>
      <c r="S311" t="str">
        <f t="shared" si="30"/>
        <v>31</v>
      </c>
      <c r="T311" t="s">
        <v>122</v>
      </c>
      <c r="W311" t="s">
        <v>526</v>
      </c>
      <c r="Y311">
        <v>3694</v>
      </c>
      <c r="Z311" t="s">
        <v>512</v>
      </c>
      <c r="AB311" t="str">
        <f t="shared" si="32"/>
        <v>13070370153</v>
      </c>
      <c r="AC311" t="s">
        <v>67</v>
      </c>
      <c r="AF311">
        <v>2023</v>
      </c>
      <c r="AG311">
        <v>93</v>
      </c>
      <c r="AH311" t="str">
        <f t="shared" si="33"/>
        <v>1</v>
      </c>
      <c r="AI311" t="str">
        <f t="shared" si="34"/>
        <v>1</v>
      </c>
      <c r="AJ311" s="1">
        <v>44928</v>
      </c>
      <c r="AK311" t="s">
        <v>517</v>
      </c>
      <c r="AL311" s="2">
        <v>3052.95</v>
      </c>
      <c r="AN311">
        <v>2023</v>
      </c>
      <c r="AO311">
        <v>145</v>
      </c>
      <c r="AP311" s="2">
        <v>1157.47</v>
      </c>
      <c r="AQ311">
        <v>0</v>
      </c>
      <c r="AR311">
        <v>0</v>
      </c>
      <c r="BA311">
        <v>1157.47</v>
      </c>
      <c r="BB311" s="1">
        <v>44960</v>
      </c>
    </row>
    <row r="312" spans="1:54" x14ac:dyDescent="0.25">
      <c r="A312">
        <v>2023</v>
      </c>
      <c r="B312">
        <v>118</v>
      </c>
      <c r="C312" s="1">
        <v>44957</v>
      </c>
      <c r="D312">
        <v>2023</v>
      </c>
      <c r="E312">
        <v>2023</v>
      </c>
      <c r="F312">
        <v>5</v>
      </c>
      <c r="H312" t="s">
        <v>508</v>
      </c>
      <c r="I312">
        <v>151</v>
      </c>
      <c r="J312">
        <v>0</v>
      </c>
      <c r="K312" t="s">
        <v>509</v>
      </c>
      <c r="R312" t="s">
        <v>510</v>
      </c>
      <c r="S312" t="str">
        <f t="shared" si="30"/>
        <v>31</v>
      </c>
      <c r="T312" t="s">
        <v>122</v>
      </c>
      <c r="W312" t="s">
        <v>527</v>
      </c>
      <c r="Y312">
        <v>3694</v>
      </c>
      <c r="Z312" t="s">
        <v>512</v>
      </c>
      <c r="AB312" t="str">
        <f t="shared" si="32"/>
        <v>13070370153</v>
      </c>
      <c r="AC312" t="s">
        <v>67</v>
      </c>
      <c r="AF312">
        <v>2023</v>
      </c>
      <c r="AG312">
        <v>94</v>
      </c>
      <c r="AH312" t="str">
        <f t="shared" si="33"/>
        <v>1</v>
      </c>
      <c r="AI312" t="str">
        <f>"22"</f>
        <v>22</v>
      </c>
      <c r="AJ312" s="1">
        <v>44942</v>
      </c>
      <c r="AK312" t="s">
        <v>528</v>
      </c>
      <c r="AL312">
        <v>390.4</v>
      </c>
      <c r="AN312">
        <v>2023</v>
      </c>
      <c r="AO312">
        <v>146</v>
      </c>
      <c r="AP312">
        <v>390.4</v>
      </c>
      <c r="AQ312">
        <v>0</v>
      </c>
      <c r="AR312">
        <v>0</v>
      </c>
      <c r="BA312">
        <v>390.4</v>
      </c>
      <c r="BB312" s="1">
        <v>44957</v>
      </c>
    </row>
    <row r="313" spans="1:54" x14ac:dyDescent="0.25">
      <c r="A313">
        <v>2023</v>
      </c>
      <c r="B313">
        <v>119</v>
      </c>
      <c r="C313" s="1">
        <v>44957</v>
      </c>
      <c r="D313">
        <v>2023</v>
      </c>
      <c r="E313">
        <v>2023</v>
      </c>
      <c r="F313">
        <v>5</v>
      </c>
      <c r="H313" t="s">
        <v>508</v>
      </c>
      <c r="I313">
        <v>151</v>
      </c>
      <c r="J313">
        <v>0</v>
      </c>
      <c r="K313" t="s">
        <v>509</v>
      </c>
      <c r="R313" t="s">
        <v>510</v>
      </c>
      <c r="S313" t="str">
        <f t="shared" si="30"/>
        <v>31</v>
      </c>
      <c r="T313" t="s">
        <v>122</v>
      </c>
      <c r="W313" t="s">
        <v>529</v>
      </c>
      <c r="Y313">
        <v>3694</v>
      </c>
      <c r="Z313" t="s">
        <v>512</v>
      </c>
      <c r="AB313" t="str">
        <f t="shared" si="32"/>
        <v>13070370153</v>
      </c>
      <c r="AC313" t="s">
        <v>67</v>
      </c>
      <c r="AF313">
        <v>2023</v>
      </c>
      <c r="AG313">
        <v>95</v>
      </c>
      <c r="AH313" t="str">
        <f t="shared" si="33"/>
        <v>1</v>
      </c>
      <c r="AI313" t="str">
        <f>"22"</f>
        <v>22</v>
      </c>
      <c r="AJ313" s="1">
        <v>44942</v>
      </c>
      <c r="AK313" t="s">
        <v>530</v>
      </c>
      <c r="AL313">
        <v>305.70999999999998</v>
      </c>
      <c r="AN313">
        <v>2023</v>
      </c>
      <c r="AO313">
        <v>146</v>
      </c>
      <c r="AP313">
        <v>305.70999999999998</v>
      </c>
      <c r="AQ313">
        <v>0</v>
      </c>
      <c r="AR313">
        <v>0</v>
      </c>
      <c r="BA313">
        <v>305.70999999999998</v>
      </c>
      <c r="BB313" s="1">
        <v>44957</v>
      </c>
    </row>
    <row r="314" spans="1:54" x14ac:dyDescent="0.25">
      <c r="A314">
        <v>2023</v>
      </c>
      <c r="B314">
        <v>120</v>
      </c>
      <c r="C314" s="1">
        <v>44957</v>
      </c>
      <c r="D314">
        <v>2023</v>
      </c>
      <c r="E314">
        <v>2023</v>
      </c>
      <c r="F314">
        <v>5</v>
      </c>
      <c r="H314" t="s">
        <v>508</v>
      </c>
      <c r="I314">
        <v>151</v>
      </c>
      <c r="J314">
        <v>0</v>
      </c>
      <c r="K314" t="s">
        <v>509</v>
      </c>
      <c r="R314" t="s">
        <v>510</v>
      </c>
      <c r="S314" t="str">
        <f t="shared" si="30"/>
        <v>31</v>
      </c>
      <c r="T314" t="s">
        <v>122</v>
      </c>
      <c r="W314" t="s">
        <v>531</v>
      </c>
      <c r="Y314">
        <v>3694</v>
      </c>
      <c r="Z314" t="s">
        <v>512</v>
      </c>
      <c r="AB314" t="str">
        <f t="shared" si="32"/>
        <v>13070370153</v>
      </c>
      <c r="AC314" t="s">
        <v>67</v>
      </c>
      <c r="AF314">
        <v>2023</v>
      </c>
      <c r="AG314">
        <v>96</v>
      </c>
      <c r="AH314" t="str">
        <f t="shared" si="33"/>
        <v>1</v>
      </c>
      <c r="AI314" t="str">
        <f>"22"</f>
        <v>22</v>
      </c>
      <c r="AJ314" s="1">
        <v>44942</v>
      </c>
      <c r="AK314" t="s">
        <v>532</v>
      </c>
      <c r="AL314">
        <v>164.18</v>
      </c>
      <c r="AN314">
        <v>2023</v>
      </c>
      <c r="AO314">
        <v>146</v>
      </c>
      <c r="AP314">
        <v>164.18</v>
      </c>
      <c r="AQ314">
        <v>0</v>
      </c>
      <c r="AR314">
        <v>0</v>
      </c>
      <c r="BA314">
        <v>164.18</v>
      </c>
      <c r="BB314" s="1">
        <v>44957</v>
      </c>
    </row>
    <row r="315" spans="1:54" x14ac:dyDescent="0.25">
      <c r="A315">
        <v>2023</v>
      </c>
      <c r="B315">
        <v>121</v>
      </c>
      <c r="C315" s="1">
        <v>44957</v>
      </c>
      <c r="D315">
        <v>2023</v>
      </c>
      <c r="E315">
        <v>2023</v>
      </c>
      <c r="F315">
        <v>5</v>
      </c>
      <c r="H315" t="s">
        <v>508</v>
      </c>
      <c r="I315">
        <v>151</v>
      </c>
      <c r="J315">
        <v>0</v>
      </c>
      <c r="K315" t="s">
        <v>509</v>
      </c>
      <c r="R315" t="s">
        <v>510</v>
      </c>
      <c r="S315" t="str">
        <f t="shared" si="30"/>
        <v>31</v>
      </c>
      <c r="T315" t="s">
        <v>122</v>
      </c>
      <c r="W315" t="s">
        <v>533</v>
      </c>
      <c r="Y315">
        <v>3694</v>
      </c>
      <c r="Z315" t="s">
        <v>512</v>
      </c>
      <c r="AB315" t="str">
        <f t="shared" si="32"/>
        <v>13070370153</v>
      </c>
      <c r="AC315" t="s">
        <v>60</v>
      </c>
      <c r="AF315">
        <v>2023</v>
      </c>
      <c r="AG315">
        <v>59</v>
      </c>
      <c r="AH315" t="str">
        <f t="shared" si="33"/>
        <v>1</v>
      </c>
      <c r="AI315" t="str">
        <f>"35"</f>
        <v>35</v>
      </c>
      <c r="AJ315" s="1">
        <v>44957</v>
      </c>
      <c r="AK315" t="s">
        <v>534</v>
      </c>
      <c r="AL315">
        <v>811.3</v>
      </c>
      <c r="AM315" t="str">
        <f>"8805955896"</f>
        <v>8805955896</v>
      </c>
      <c r="AN315">
        <v>2023</v>
      </c>
      <c r="AO315">
        <v>146</v>
      </c>
      <c r="AP315">
        <v>146.30000000000001</v>
      </c>
      <c r="AQ315">
        <v>0</v>
      </c>
      <c r="AR315">
        <v>696.83</v>
      </c>
      <c r="AS315" t="s">
        <v>177</v>
      </c>
      <c r="AT315">
        <v>665</v>
      </c>
      <c r="AU315">
        <v>146.30000000000001</v>
      </c>
      <c r="AV315">
        <v>2023</v>
      </c>
      <c r="AW315">
        <v>58</v>
      </c>
      <c r="AX315">
        <v>670</v>
      </c>
      <c r="AY315">
        <v>0</v>
      </c>
      <c r="AZ315" t="s">
        <v>535</v>
      </c>
      <c r="BA315">
        <v>146.30000000000001</v>
      </c>
      <c r="BB315" s="1">
        <v>44957</v>
      </c>
    </row>
    <row r="316" spans="1:54" x14ac:dyDescent="0.25">
      <c r="A316">
        <v>2023</v>
      </c>
      <c r="B316">
        <v>121</v>
      </c>
      <c r="C316" s="1">
        <v>44957</v>
      </c>
      <c r="D316">
        <v>2023</v>
      </c>
      <c r="E316">
        <v>2023</v>
      </c>
      <c r="F316">
        <v>5</v>
      </c>
      <c r="H316" t="s">
        <v>508</v>
      </c>
      <c r="I316">
        <v>151</v>
      </c>
      <c r="J316">
        <v>0</v>
      </c>
      <c r="K316" t="s">
        <v>509</v>
      </c>
      <c r="R316" t="s">
        <v>510</v>
      </c>
      <c r="S316" t="str">
        <f t="shared" si="30"/>
        <v>31</v>
      </c>
      <c r="T316" t="s">
        <v>122</v>
      </c>
      <c r="W316" t="s">
        <v>533</v>
      </c>
      <c r="Y316">
        <v>3694</v>
      </c>
      <c r="Z316" t="s">
        <v>512</v>
      </c>
      <c r="AB316" t="str">
        <f t="shared" si="32"/>
        <v>13070370153</v>
      </c>
      <c r="AC316" t="s">
        <v>60</v>
      </c>
      <c r="AF316">
        <v>2023</v>
      </c>
      <c r="AG316">
        <v>60</v>
      </c>
      <c r="AH316" t="str">
        <f t="shared" si="33"/>
        <v>1</v>
      </c>
      <c r="AI316" t="str">
        <f>"35"</f>
        <v>35</v>
      </c>
      <c r="AJ316" s="1">
        <v>44957</v>
      </c>
      <c r="AK316" t="s">
        <v>536</v>
      </c>
      <c r="AL316" s="2">
        <v>3052.95</v>
      </c>
      <c r="AM316" t="str">
        <f>"8806023755"</f>
        <v>8806023755</v>
      </c>
      <c r="AN316">
        <v>2023</v>
      </c>
      <c r="AO316">
        <v>146</v>
      </c>
      <c r="AP316">
        <v>550.53</v>
      </c>
      <c r="AQ316">
        <v>0</v>
      </c>
      <c r="AR316">
        <v>696.83</v>
      </c>
      <c r="AS316" t="s">
        <v>177</v>
      </c>
      <c r="AT316">
        <v>2502.42</v>
      </c>
      <c r="AU316">
        <v>550.53</v>
      </c>
      <c r="AV316">
        <v>2023</v>
      </c>
      <c r="AW316">
        <v>58</v>
      </c>
      <c r="AX316">
        <v>670</v>
      </c>
      <c r="AY316">
        <v>0</v>
      </c>
      <c r="AZ316" t="s">
        <v>535</v>
      </c>
      <c r="BA316">
        <v>550.53</v>
      </c>
      <c r="BB316" s="1">
        <v>44957</v>
      </c>
    </row>
    <row r="317" spans="1:54" x14ac:dyDescent="0.25">
      <c r="A317">
        <v>2023</v>
      </c>
      <c r="B317">
        <v>122</v>
      </c>
      <c r="C317" s="1">
        <v>44957</v>
      </c>
      <c r="D317">
        <v>2023</v>
      </c>
      <c r="E317">
        <v>2023</v>
      </c>
      <c r="F317">
        <v>5</v>
      </c>
      <c r="H317" t="s">
        <v>508</v>
      </c>
      <c r="I317">
        <v>151</v>
      </c>
      <c r="J317">
        <v>0</v>
      </c>
      <c r="K317" t="s">
        <v>509</v>
      </c>
      <c r="R317" t="s">
        <v>510</v>
      </c>
      <c r="S317" t="str">
        <f t="shared" si="30"/>
        <v>31</v>
      </c>
      <c r="T317" t="s">
        <v>122</v>
      </c>
      <c r="W317" t="s">
        <v>537</v>
      </c>
      <c r="Y317">
        <v>3694</v>
      </c>
      <c r="Z317" t="s">
        <v>512</v>
      </c>
      <c r="AB317" t="str">
        <f t="shared" si="32"/>
        <v>13070370153</v>
      </c>
      <c r="AC317" t="s">
        <v>67</v>
      </c>
      <c r="AF317">
        <v>2023</v>
      </c>
      <c r="AG317">
        <v>59</v>
      </c>
      <c r="AH317" t="str">
        <f t="shared" si="33"/>
        <v>1</v>
      </c>
      <c r="AI317" t="str">
        <f>"35"</f>
        <v>35</v>
      </c>
      <c r="AJ317" s="1">
        <v>44957</v>
      </c>
      <c r="AK317" t="s">
        <v>534</v>
      </c>
      <c r="AL317">
        <v>811.3</v>
      </c>
      <c r="AM317" t="str">
        <f>"8805955896"</f>
        <v>8805955896</v>
      </c>
      <c r="AN317">
        <v>2023</v>
      </c>
      <c r="AO317">
        <v>146</v>
      </c>
      <c r="AP317">
        <v>665</v>
      </c>
      <c r="AQ317">
        <v>0</v>
      </c>
      <c r="AR317">
        <v>0</v>
      </c>
      <c r="BA317">
        <v>665</v>
      </c>
      <c r="BB317" s="1">
        <v>44957</v>
      </c>
    </row>
    <row r="318" spans="1:54" x14ac:dyDescent="0.25">
      <c r="A318">
        <v>2023</v>
      </c>
      <c r="B318">
        <v>123</v>
      </c>
      <c r="C318" s="1">
        <v>44957</v>
      </c>
      <c r="D318">
        <v>2023</v>
      </c>
      <c r="E318">
        <v>2023</v>
      </c>
      <c r="F318">
        <v>5</v>
      </c>
      <c r="H318" t="s">
        <v>508</v>
      </c>
      <c r="I318">
        <v>151</v>
      </c>
      <c r="J318">
        <v>0</v>
      </c>
      <c r="K318" t="s">
        <v>509</v>
      </c>
      <c r="R318" t="s">
        <v>510</v>
      </c>
      <c r="S318" t="str">
        <f t="shared" si="30"/>
        <v>31</v>
      </c>
      <c r="T318" t="s">
        <v>122</v>
      </c>
      <c r="W318" t="s">
        <v>538</v>
      </c>
      <c r="Y318">
        <v>3694</v>
      </c>
      <c r="Z318" t="s">
        <v>512</v>
      </c>
      <c r="AB318" t="str">
        <f t="shared" si="32"/>
        <v>13070370153</v>
      </c>
      <c r="AC318" t="s">
        <v>67</v>
      </c>
      <c r="AF318">
        <v>2023</v>
      </c>
      <c r="AG318">
        <v>60</v>
      </c>
      <c r="AH318" t="str">
        <f t="shared" si="33"/>
        <v>1</v>
      </c>
      <c r="AI318" t="str">
        <f>"35"</f>
        <v>35</v>
      </c>
      <c r="AJ318" s="1">
        <v>44957</v>
      </c>
      <c r="AK318" t="s">
        <v>536</v>
      </c>
      <c r="AL318" s="2">
        <v>3052.95</v>
      </c>
      <c r="AM318" t="str">
        <f>"8806023755"</f>
        <v>8806023755</v>
      </c>
      <c r="AN318">
        <v>2023</v>
      </c>
      <c r="AO318">
        <v>146</v>
      </c>
      <c r="AP318" s="2">
        <v>2502.42</v>
      </c>
      <c r="AQ318">
        <v>0</v>
      </c>
      <c r="AR318">
        <v>0</v>
      </c>
      <c r="BA318">
        <v>2502.42</v>
      </c>
      <c r="BB318" s="1">
        <v>44957</v>
      </c>
    </row>
    <row r="319" spans="1:54" x14ac:dyDescent="0.25">
      <c r="A319">
        <v>2023</v>
      </c>
      <c r="B319">
        <v>124</v>
      </c>
      <c r="C319" s="1">
        <v>44960</v>
      </c>
      <c r="D319">
        <v>2023</v>
      </c>
      <c r="E319">
        <v>2022</v>
      </c>
      <c r="F319">
        <v>447</v>
      </c>
      <c r="H319" t="s">
        <v>539</v>
      </c>
      <c r="I319">
        <v>220</v>
      </c>
      <c r="J319">
        <v>0</v>
      </c>
      <c r="K319" t="s">
        <v>285</v>
      </c>
      <c r="R319" t="s">
        <v>540</v>
      </c>
      <c r="W319" t="s">
        <v>541</v>
      </c>
      <c r="Y319">
        <v>1230</v>
      </c>
      <c r="Z319" t="s">
        <v>542</v>
      </c>
      <c r="AB319" t="str">
        <f>"00696740265"</f>
        <v>00696740265</v>
      </c>
      <c r="AC319" t="s">
        <v>116</v>
      </c>
      <c r="AD319" t="s">
        <v>543</v>
      </c>
      <c r="AF319">
        <v>2022</v>
      </c>
      <c r="AG319">
        <v>3734</v>
      </c>
      <c r="AH319" t="str">
        <f t="shared" si="33"/>
        <v>1</v>
      </c>
      <c r="AI319" t="s">
        <v>544</v>
      </c>
      <c r="AJ319" s="1">
        <v>44895</v>
      </c>
      <c r="AK319" t="s">
        <v>541</v>
      </c>
      <c r="AL319" s="2">
        <v>61000</v>
      </c>
      <c r="AM319" t="str">
        <f>"8611491702"</f>
        <v>8611491702</v>
      </c>
      <c r="AN319">
        <v>2023</v>
      </c>
      <c r="AO319">
        <v>97</v>
      </c>
      <c r="AP319" s="2">
        <v>61000</v>
      </c>
      <c r="AQ319">
        <v>0</v>
      </c>
      <c r="AR319" s="2">
        <v>11000</v>
      </c>
      <c r="AS319" t="s">
        <v>177</v>
      </c>
      <c r="AT319">
        <v>50000</v>
      </c>
      <c r="AU319">
        <v>11000</v>
      </c>
      <c r="AV319">
        <v>2023</v>
      </c>
      <c r="AW319">
        <v>59</v>
      </c>
      <c r="AX319">
        <v>670</v>
      </c>
      <c r="AY319">
        <v>0</v>
      </c>
      <c r="AZ319" t="s">
        <v>545</v>
      </c>
      <c r="BA319">
        <v>61000</v>
      </c>
      <c r="BB319" s="1">
        <v>44960</v>
      </c>
    </row>
    <row r="320" spans="1:54" x14ac:dyDescent="0.25">
      <c r="A320">
        <v>2023</v>
      </c>
      <c r="B320">
        <v>125</v>
      </c>
      <c r="C320" s="1">
        <v>44960</v>
      </c>
      <c r="D320">
        <v>2023</v>
      </c>
      <c r="E320">
        <v>2021</v>
      </c>
      <c r="F320">
        <v>571</v>
      </c>
      <c r="H320" t="s">
        <v>546</v>
      </c>
      <c r="I320">
        <v>200</v>
      </c>
      <c r="J320">
        <v>0</v>
      </c>
      <c r="K320" t="s">
        <v>293</v>
      </c>
      <c r="R320" t="s">
        <v>547</v>
      </c>
      <c r="S320" t="str">
        <f>"30"</f>
        <v>30</v>
      </c>
      <c r="T320" t="s">
        <v>78</v>
      </c>
      <c r="W320" t="s">
        <v>548</v>
      </c>
      <c r="Y320">
        <v>3767</v>
      </c>
      <c r="Z320" t="s">
        <v>549</v>
      </c>
      <c r="AB320" t="str">
        <f>"01158730257"</f>
        <v>01158730257</v>
      </c>
      <c r="AC320" t="s">
        <v>116</v>
      </c>
      <c r="AD320" t="s">
        <v>550</v>
      </c>
      <c r="AF320">
        <v>2022</v>
      </c>
      <c r="AG320">
        <v>3985</v>
      </c>
      <c r="AH320" t="str">
        <f t="shared" si="33"/>
        <v>1</v>
      </c>
      <c r="AI320" t="s">
        <v>551</v>
      </c>
      <c r="AJ320" s="1">
        <v>44918</v>
      </c>
      <c r="AK320" t="s">
        <v>552</v>
      </c>
      <c r="AL320" s="2">
        <v>2973.14</v>
      </c>
      <c r="AM320" t="str">
        <f>"8704357439"</f>
        <v>8704357439</v>
      </c>
      <c r="AN320">
        <v>2023</v>
      </c>
      <c r="AO320">
        <v>148</v>
      </c>
      <c r="AP320" s="2">
        <v>2973.14</v>
      </c>
      <c r="AQ320">
        <v>0</v>
      </c>
      <c r="AR320">
        <v>536.14</v>
      </c>
      <c r="AS320" t="s">
        <v>177</v>
      </c>
      <c r="AT320">
        <v>2437</v>
      </c>
      <c r="AU320">
        <v>536.14</v>
      </c>
      <c r="AV320">
        <v>2023</v>
      </c>
      <c r="AW320">
        <v>60</v>
      </c>
      <c r="AX320">
        <v>670</v>
      </c>
      <c r="AY320">
        <v>0</v>
      </c>
      <c r="AZ320" t="s">
        <v>553</v>
      </c>
      <c r="BA320">
        <v>2973.14</v>
      </c>
      <c r="BB320" s="1">
        <v>44960</v>
      </c>
    </row>
    <row r="321" spans="1:54" x14ac:dyDescent="0.25">
      <c r="A321">
        <v>2023</v>
      </c>
      <c r="B321">
        <v>126</v>
      </c>
      <c r="C321" s="1">
        <v>44960</v>
      </c>
      <c r="D321">
        <v>2023</v>
      </c>
      <c r="E321">
        <v>2023</v>
      </c>
      <c r="F321">
        <v>33</v>
      </c>
      <c r="H321" t="s">
        <v>554</v>
      </c>
      <c r="I321">
        <v>200</v>
      </c>
      <c r="J321">
        <v>0</v>
      </c>
      <c r="K321" t="s">
        <v>293</v>
      </c>
      <c r="R321" t="s">
        <v>555</v>
      </c>
      <c r="S321" t="str">
        <f t="shared" ref="S321:S363" si="35">"31"</f>
        <v>31</v>
      </c>
      <c r="T321" t="s">
        <v>122</v>
      </c>
      <c r="W321" t="s">
        <v>556</v>
      </c>
      <c r="Y321">
        <v>1247</v>
      </c>
      <c r="Z321" t="s">
        <v>557</v>
      </c>
      <c r="AB321" t="str">
        <f>"01848780274"</f>
        <v>01848780274</v>
      </c>
      <c r="AC321" t="s">
        <v>116</v>
      </c>
      <c r="AD321" t="s">
        <v>558</v>
      </c>
      <c r="AF321">
        <v>2022</v>
      </c>
      <c r="AG321">
        <v>2723</v>
      </c>
      <c r="AH321" t="str">
        <f t="shared" si="33"/>
        <v>1</v>
      </c>
      <c r="AI321" t="s">
        <v>559</v>
      </c>
      <c r="AJ321" s="1">
        <v>44804</v>
      </c>
      <c r="AK321" t="s">
        <v>556</v>
      </c>
      <c r="AL321" s="2">
        <v>2574.08</v>
      </c>
      <c r="AM321" t="str">
        <f>"7973893506"</f>
        <v>7973893506</v>
      </c>
      <c r="AN321">
        <v>2023</v>
      </c>
      <c r="AO321">
        <v>95</v>
      </c>
      <c r="AP321" s="2">
        <v>2574.08</v>
      </c>
      <c r="AQ321">
        <v>0</v>
      </c>
      <c r="AR321">
        <v>464.18</v>
      </c>
      <c r="AS321" t="s">
        <v>177</v>
      </c>
      <c r="AT321">
        <v>2109.9</v>
      </c>
      <c r="AU321">
        <v>464.18</v>
      </c>
      <c r="AV321">
        <v>2023</v>
      </c>
      <c r="AW321">
        <v>61</v>
      </c>
      <c r="AX321">
        <v>670</v>
      </c>
      <c r="AY321">
        <v>0</v>
      </c>
      <c r="AZ321" t="s">
        <v>560</v>
      </c>
      <c r="BA321">
        <v>2574.08</v>
      </c>
      <c r="BB321" s="1">
        <v>44960</v>
      </c>
    </row>
    <row r="322" spans="1:54" x14ac:dyDescent="0.25">
      <c r="A322">
        <v>2023</v>
      </c>
      <c r="B322">
        <v>127</v>
      </c>
      <c r="C322" s="1">
        <v>44960</v>
      </c>
      <c r="D322">
        <v>2023</v>
      </c>
      <c r="E322">
        <v>2022</v>
      </c>
      <c r="F322">
        <v>39</v>
      </c>
      <c r="H322" t="s">
        <v>561</v>
      </c>
      <c r="I322">
        <v>149</v>
      </c>
      <c r="J322">
        <v>0</v>
      </c>
      <c r="K322" t="s">
        <v>277</v>
      </c>
      <c r="R322" t="s">
        <v>562</v>
      </c>
      <c r="S322" t="str">
        <f t="shared" si="35"/>
        <v>31</v>
      </c>
      <c r="T322" t="s">
        <v>122</v>
      </c>
      <c r="W322" t="s">
        <v>563</v>
      </c>
      <c r="Y322">
        <v>2565</v>
      </c>
      <c r="Z322" t="s">
        <v>564</v>
      </c>
      <c r="AB322" t="s">
        <v>565</v>
      </c>
      <c r="AC322" t="s">
        <v>116</v>
      </c>
      <c r="AD322" t="s">
        <v>566</v>
      </c>
      <c r="AF322">
        <v>2022</v>
      </c>
      <c r="AG322">
        <v>4016</v>
      </c>
      <c r="AH322" t="str">
        <f t="shared" si="33"/>
        <v>1</v>
      </c>
      <c r="AI322" t="str">
        <f>"217"</f>
        <v>217</v>
      </c>
      <c r="AJ322" s="1">
        <v>44922</v>
      </c>
      <c r="AK322" t="s">
        <v>563</v>
      </c>
      <c r="AL322">
        <v>707.6</v>
      </c>
      <c r="AM322" t="str">
        <f>"8717915054"</f>
        <v>8717915054</v>
      </c>
      <c r="AN322">
        <v>2023</v>
      </c>
      <c r="AO322">
        <v>96</v>
      </c>
      <c r="AP322">
        <v>707.6</v>
      </c>
      <c r="AQ322">
        <v>0</v>
      </c>
      <c r="AR322">
        <v>127.6</v>
      </c>
      <c r="AS322" t="s">
        <v>177</v>
      </c>
      <c r="AT322">
        <v>580</v>
      </c>
      <c r="AU322">
        <v>127.6</v>
      </c>
      <c r="AV322">
        <v>2023</v>
      </c>
      <c r="AW322">
        <v>62</v>
      </c>
      <c r="AX322">
        <v>670</v>
      </c>
      <c r="AY322">
        <v>0</v>
      </c>
      <c r="AZ322" t="s">
        <v>567</v>
      </c>
      <c r="BA322">
        <v>707.6</v>
      </c>
      <c r="BB322" s="1">
        <v>44960</v>
      </c>
    </row>
    <row r="323" spans="1:54" x14ac:dyDescent="0.25">
      <c r="A323">
        <v>2023</v>
      </c>
      <c r="B323">
        <v>128</v>
      </c>
      <c r="C323" s="1">
        <v>44961</v>
      </c>
      <c r="D323">
        <v>2023</v>
      </c>
      <c r="E323">
        <v>2022</v>
      </c>
      <c r="F323">
        <v>747</v>
      </c>
      <c r="H323" t="s">
        <v>568</v>
      </c>
      <c r="I323">
        <v>200</v>
      </c>
      <c r="J323">
        <v>0</v>
      </c>
      <c r="K323" t="s">
        <v>293</v>
      </c>
      <c r="S323" t="str">
        <f t="shared" si="35"/>
        <v>31</v>
      </c>
      <c r="T323" t="s">
        <v>122</v>
      </c>
      <c r="W323" t="s">
        <v>569</v>
      </c>
      <c r="Y323">
        <v>4427</v>
      </c>
      <c r="Z323" t="s">
        <v>570</v>
      </c>
      <c r="AA323" t="s">
        <v>571</v>
      </c>
      <c r="AB323" t="s">
        <v>572</v>
      </c>
      <c r="AC323" t="s">
        <v>116</v>
      </c>
      <c r="AD323" t="s">
        <v>573</v>
      </c>
      <c r="AF323">
        <v>2023</v>
      </c>
      <c r="AG323">
        <v>46</v>
      </c>
      <c r="AH323" t="str">
        <f t="shared" ref="AH323:AH363" si="36">"7"</f>
        <v>7</v>
      </c>
      <c r="AI323" t="s">
        <v>574</v>
      </c>
      <c r="AJ323" s="1">
        <v>44939</v>
      </c>
      <c r="AK323" t="s">
        <v>569</v>
      </c>
      <c r="AL323" s="2">
        <v>3480</v>
      </c>
      <c r="AN323">
        <v>2023</v>
      </c>
      <c r="AO323">
        <v>98</v>
      </c>
      <c r="AP323" s="2">
        <v>3480</v>
      </c>
      <c r="AQ323">
        <v>0</v>
      </c>
      <c r="AR323">
        <v>0</v>
      </c>
      <c r="BA323">
        <v>3480</v>
      </c>
      <c r="BB323" s="1">
        <v>44961</v>
      </c>
    </row>
    <row r="324" spans="1:54" x14ac:dyDescent="0.25">
      <c r="A324">
        <v>2023</v>
      </c>
      <c r="B324">
        <v>129</v>
      </c>
      <c r="C324" s="1">
        <v>44961</v>
      </c>
      <c r="D324">
        <v>2023</v>
      </c>
      <c r="E324">
        <v>2022</v>
      </c>
      <c r="F324">
        <v>747</v>
      </c>
      <c r="H324" t="s">
        <v>568</v>
      </c>
      <c r="I324">
        <v>200</v>
      </c>
      <c r="J324">
        <v>0</v>
      </c>
      <c r="K324" t="s">
        <v>293</v>
      </c>
      <c r="S324" t="str">
        <f t="shared" si="35"/>
        <v>31</v>
      </c>
      <c r="T324" t="s">
        <v>122</v>
      </c>
      <c r="W324" t="s">
        <v>575</v>
      </c>
      <c r="Y324">
        <v>4427</v>
      </c>
      <c r="Z324" t="s">
        <v>570</v>
      </c>
      <c r="AA324" t="s">
        <v>571</v>
      </c>
      <c r="AB324" t="s">
        <v>572</v>
      </c>
      <c r="AC324" t="s">
        <v>116</v>
      </c>
      <c r="AD324" t="s">
        <v>573</v>
      </c>
      <c r="AF324">
        <v>2023</v>
      </c>
      <c r="AG324">
        <v>47</v>
      </c>
      <c r="AH324" t="str">
        <f t="shared" si="36"/>
        <v>7</v>
      </c>
      <c r="AI324" t="s">
        <v>576</v>
      </c>
      <c r="AJ324" s="1">
        <v>44939</v>
      </c>
      <c r="AK324" t="s">
        <v>575</v>
      </c>
      <c r="AL324">
        <v>503.25</v>
      </c>
      <c r="AN324">
        <v>2023</v>
      </c>
      <c r="AO324">
        <v>102</v>
      </c>
      <c r="AP324">
        <v>503.25</v>
      </c>
      <c r="AQ324">
        <v>0</v>
      </c>
      <c r="AR324">
        <v>0</v>
      </c>
      <c r="BA324">
        <v>503.25</v>
      </c>
      <c r="BB324" s="1">
        <v>44961</v>
      </c>
    </row>
    <row r="325" spans="1:54" x14ac:dyDescent="0.25">
      <c r="A325">
        <v>2023</v>
      </c>
      <c r="B325">
        <v>130</v>
      </c>
      <c r="C325" s="1">
        <v>44961</v>
      </c>
      <c r="D325">
        <v>2023</v>
      </c>
      <c r="E325">
        <v>2022</v>
      </c>
      <c r="F325">
        <v>747</v>
      </c>
      <c r="H325" t="s">
        <v>568</v>
      </c>
      <c r="I325">
        <v>200</v>
      </c>
      <c r="J325">
        <v>0</v>
      </c>
      <c r="K325" t="s">
        <v>293</v>
      </c>
      <c r="S325" t="str">
        <f t="shared" si="35"/>
        <v>31</v>
      </c>
      <c r="T325" t="s">
        <v>122</v>
      </c>
      <c r="W325" t="s">
        <v>569</v>
      </c>
      <c r="Y325">
        <v>4604</v>
      </c>
      <c r="Z325" t="s">
        <v>577</v>
      </c>
      <c r="AA325" t="s">
        <v>578</v>
      </c>
      <c r="AB325" t="s">
        <v>579</v>
      </c>
      <c r="AC325" t="s">
        <v>116</v>
      </c>
      <c r="AD325" t="s">
        <v>580</v>
      </c>
      <c r="AF325">
        <v>2022</v>
      </c>
      <c r="AG325">
        <v>4082</v>
      </c>
      <c r="AH325" t="str">
        <f t="shared" si="36"/>
        <v>7</v>
      </c>
      <c r="AI325" t="s">
        <v>574</v>
      </c>
      <c r="AJ325" s="1">
        <v>44882</v>
      </c>
      <c r="AK325" t="s">
        <v>581</v>
      </c>
      <c r="AL325">
        <v>390</v>
      </c>
      <c r="AN325">
        <v>2023</v>
      </c>
      <c r="AO325">
        <v>103</v>
      </c>
      <c r="AP325">
        <v>390</v>
      </c>
      <c r="AQ325">
        <v>0</v>
      </c>
      <c r="AR325">
        <v>0</v>
      </c>
      <c r="BA325">
        <v>390</v>
      </c>
      <c r="BB325" s="1">
        <v>44961</v>
      </c>
    </row>
    <row r="326" spans="1:54" x14ac:dyDescent="0.25">
      <c r="A326">
        <v>2023</v>
      </c>
      <c r="B326">
        <v>131</v>
      </c>
      <c r="C326" s="1">
        <v>44961</v>
      </c>
      <c r="D326">
        <v>2023</v>
      </c>
      <c r="E326">
        <v>2022</v>
      </c>
      <c r="F326">
        <v>747</v>
      </c>
      <c r="H326" t="s">
        <v>568</v>
      </c>
      <c r="I326">
        <v>200</v>
      </c>
      <c r="J326">
        <v>0</v>
      </c>
      <c r="K326" t="s">
        <v>293</v>
      </c>
      <c r="S326" t="str">
        <f t="shared" si="35"/>
        <v>31</v>
      </c>
      <c r="T326" t="s">
        <v>122</v>
      </c>
      <c r="W326" t="s">
        <v>569</v>
      </c>
      <c r="Y326">
        <v>4428</v>
      </c>
      <c r="Z326" t="s">
        <v>582</v>
      </c>
      <c r="AA326" t="s">
        <v>583</v>
      </c>
      <c r="AB326" t="s">
        <v>584</v>
      </c>
      <c r="AC326" t="s">
        <v>116</v>
      </c>
      <c r="AD326" t="s">
        <v>585</v>
      </c>
      <c r="AF326">
        <v>2022</v>
      </c>
      <c r="AG326">
        <v>4083</v>
      </c>
      <c r="AH326" t="str">
        <f t="shared" si="36"/>
        <v>7</v>
      </c>
      <c r="AI326" t="s">
        <v>574</v>
      </c>
      <c r="AJ326" s="1">
        <v>44888</v>
      </c>
      <c r="AK326" t="s">
        <v>569</v>
      </c>
      <c r="AL326" s="2">
        <v>3048</v>
      </c>
      <c r="AN326">
        <v>2023</v>
      </c>
      <c r="AO326">
        <v>104</v>
      </c>
      <c r="AP326" s="2">
        <v>3048</v>
      </c>
      <c r="AQ326">
        <v>0</v>
      </c>
      <c r="AR326">
        <v>0</v>
      </c>
      <c r="BA326">
        <v>3048</v>
      </c>
      <c r="BB326" s="1">
        <v>44961</v>
      </c>
    </row>
    <row r="327" spans="1:54" x14ac:dyDescent="0.25">
      <c r="A327">
        <v>2023</v>
      </c>
      <c r="B327">
        <v>132</v>
      </c>
      <c r="C327" s="1">
        <v>44961</v>
      </c>
      <c r="D327">
        <v>2023</v>
      </c>
      <c r="E327">
        <v>2022</v>
      </c>
      <c r="F327">
        <v>747</v>
      </c>
      <c r="H327" t="s">
        <v>568</v>
      </c>
      <c r="I327">
        <v>200</v>
      </c>
      <c r="J327">
        <v>0</v>
      </c>
      <c r="K327" t="s">
        <v>293</v>
      </c>
      <c r="S327" t="str">
        <f t="shared" si="35"/>
        <v>31</v>
      </c>
      <c r="T327" t="s">
        <v>122</v>
      </c>
      <c r="W327" t="s">
        <v>586</v>
      </c>
      <c r="Y327">
        <v>4428</v>
      </c>
      <c r="Z327" t="s">
        <v>582</v>
      </c>
      <c r="AA327" t="s">
        <v>583</v>
      </c>
      <c r="AB327" t="s">
        <v>584</v>
      </c>
      <c r="AC327" t="s">
        <v>116</v>
      </c>
      <c r="AD327" t="s">
        <v>585</v>
      </c>
      <c r="AF327">
        <v>2022</v>
      </c>
      <c r="AG327">
        <v>4085</v>
      </c>
      <c r="AH327" t="str">
        <f t="shared" si="36"/>
        <v>7</v>
      </c>
      <c r="AI327" t="s">
        <v>576</v>
      </c>
      <c r="AJ327" s="1">
        <v>44888</v>
      </c>
      <c r="AK327" t="s">
        <v>586</v>
      </c>
      <c r="AL327">
        <v>768.87</v>
      </c>
      <c r="AN327">
        <v>2023</v>
      </c>
      <c r="AO327">
        <v>105</v>
      </c>
      <c r="AP327">
        <v>768.87</v>
      </c>
      <c r="AQ327">
        <v>0</v>
      </c>
      <c r="AR327">
        <v>0</v>
      </c>
      <c r="BA327">
        <v>768.87</v>
      </c>
      <c r="BB327" s="1">
        <v>44961</v>
      </c>
    </row>
    <row r="328" spans="1:54" x14ac:dyDescent="0.25">
      <c r="A328">
        <v>2023</v>
      </c>
      <c r="B328">
        <v>133</v>
      </c>
      <c r="C328" s="1">
        <v>44961</v>
      </c>
      <c r="D328">
        <v>2023</v>
      </c>
      <c r="E328">
        <v>2022</v>
      </c>
      <c r="F328">
        <v>747</v>
      </c>
      <c r="H328" t="s">
        <v>568</v>
      </c>
      <c r="I328">
        <v>200</v>
      </c>
      <c r="J328">
        <v>0</v>
      </c>
      <c r="K328" t="s">
        <v>293</v>
      </c>
      <c r="S328" t="str">
        <f t="shared" si="35"/>
        <v>31</v>
      </c>
      <c r="T328" t="s">
        <v>122</v>
      </c>
      <c r="W328" t="s">
        <v>569</v>
      </c>
      <c r="Y328">
        <v>3549</v>
      </c>
      <c r="Z328" t="s">
        <v>587</v>
      </c>
      <c r="AA328" t="s">
        <v>588</v>
      </c>
      <c r="AB328" t="s">
        <v>589</v>
      </c>
      <c r="AC328" t="s">
        <v>116</v>
      </c>
      <c r="AD328" t="s">
        <v>590</v>
      </c>
      <c r="AF328">
        <v>2022</v>
      </c>
      <c r="AG328">
        <v>4086</v>
      </c>
      <c r="AH328" t="str">
        <f t="shared" si="36"/>
        <v>7</v>
      </c>
      <c r="AI328" t="s">
        <v>574</v>
      </c>
      <c r="AJ328" s="1">
        <v>44888</v>
      </c>
      <c r="AK328" t="s">
        <v>569</v>
      </c>
      <c r="AL328" s="2">
        <v>6057</v>
      </c>
      <c r="AN328">
        <v>2023</v>
      </c>
      <c r="AO328">
        <v>106</v>
      </c>
      <c r="AP328" s="2">
        <v>6057</v>
      </c>
      <c r="AQ328">
        <v>0</v>
      </c>
      <c r="AR328">
        <v>0</v>
      </c>
      <c r="BA328">
        <v>6057</v>
      </c>
      <c r="BB328" s="1">
        <v>44961</v>
      </c>
    </row>
    <row r="329" spans="1:54" x14ac:dyDescent="0.25">
      <c r="A329">
        <v>2023</v>
      </c>
      <c r="B329">
        <v>134</v>
      </c>
      <c r="C329" s="1">
        <v>44961</v>
      </c>
      <c r="D329">
        <v>2023</v>
      </c>
      <c r="E329">
        <v>2022</v>
      </c>
      <c r="F329">
        <v>747</v>
      </c>
      <c r="H329" t="s">
        <v>568</v>
      </c>
      <c r="I329">
        <v>200</v>
      </c>
      <c r="J329">
        <v>0</v>
      </c>
      <c r="K329" t="s">
        <v>293</v>
      </c>
      <c r="S329" t="str">
        <f t="shared" si="35"/>
        <v>31</v>
      </c>
      <c r="T329" t="s">
        <v>122</v>
      </c>
      <c r="W329" t="s">
        <v>575</v>
      </c>
      <c r="Y329">
        <v>3549</v>
      </c>
      <c r="Z329" t="s">
        <v>587</v>
      </c>
      <c r="AA329" t="s">
        <v>588</v>
      </c>
      <c r="AB329" t="s">
        <v>589</v>
      </c>
      <c r="AC329" t="s">
        <v>116</v>
      </c>
      <c r="AD329" t="s">
        <v>590</v>
      </c>
      <c r="AF329">
        <v>2022</v>
      </c>
      <c r="AG329">
        <v>4087</v>
      </c>
      <c r="AH329" t="str">
        <f t="shared" si="36"/>
        <v>7</v>
      </c>
      <c r="AI329" t="s">
        <v>576</v>
      </c>
      <c r="AJ329" s="1">
        <v>44888</v>
      </c>
      <c r="AK329" t="s">
        <v>575</v>
      </c>
      <c r="AL329">
        <v>196.86</v>
      </c>
      <c r="AN329">
        <v>2023</v>
      </c>
      <c r="AO329">
        <v>107</v>
      </c>
      <c r="AP329">
        <v>196.86</v>
      </c>
      <c r="AQ329">
        <v>0</v>
      </c>
      <c r="AR329">
        <v>0</v>
      </c>
      <c r="BA329">
        <v>196.86</v>
      </c>
      <c r="BB329" s="1">
        <v>44961</v>
      </c>
    </row>
    <row r="330" spans="1:54" x14ac:dyDescent="0.25">
      <c r="A330">
        <v>2023</v>
      </c>
      <c r="B330">
        <v>135</v>
      </c>
      <c r="C330" s="1">
        <v>44961</v>
      </c>
      <c r="D330">
        <v>2023</v>
      </c>
      <c r="E330">
        <v>2022</v>
      </c>
      <c r="F330">
        <v>747</v>
      </c>
      <c r="H330" t="s">
        <v>568</v>
      </c>
      <c r="I330">
        <v>200</v>
      </c>
      <c r="J330">
        <v>0</v>
      </c>
      <c r="K330" t="s">
        <v>293</v>
      </c>
      <c r="S330" t="str">
        <f t="shared" si="35"/>
        <v>31</v>
      </c>
      <c r="T330" t="s">
        <v>122</v>
      </c>
      <c r="W330" t="s">
        <v>569</v>
      </c>
      <c r="Y330">
        <v>4429</v>
      </c>
      <c r="Z330" t="s">
        <v>591</v>
      </c>
      <c r="AB330" t="s">
        <v>592</v>
      </c>
      <c r="AC330" t="s">
        <v>116</v>
      </c>
      <c r="AD330" t="s">
        <v>593</v>
      </c>
      <c r="AF330">
        <v>2022</v>
      </c>
      <c r="AG330">
        <v>4090</v>
      </c>
      <c r="AH330" t="str">
        <f t="shared" si="36"/>
        <v>7</v>
      </c>
      <c r="AI330" t="s">
        <v>574</v>
      </c>
      <c r="AJ330" s="1">
        <v>44882</v>
      </c>
      <c r="AK330" t="s">
        <v>569</v>
      </c>
      <c r="AL330" s="2">
        <v>2610</v>
      </c>
      <c r="AN330">
        <v>2023</v>
      </c>
      <c r="AO330">
        <v>108</v>
      </c>
      <c r="AP330" s="2">
        <v>2610</v>
      </c>
      <c r="AQ330">
        <v>0</v>
      </c>
      <c r="AR330">
        <v>0</v>
      </c>
      <c r="BA330">
        <v>2610</v>
      </c>
      <c r="BB330" s="1">
        <v>44961</v>
      </c>
    </row>
    <row r="331" spans="1:54" x14ac:dyDescent="0.25">
      <c r="A331">
        <v>2023</v>
      </c>
      <c r="B331">
        <v>136</v>
      </c>
      <c r="C331" s="1">
        <v>44961</v>
      </c>
      <c r="D331">
        <v>2023</v>
      </c>
      <c r="E331">
        <v>2022</v>
      </c>
      <c r="F331">
        <v>747</v>
      </c>
      <c r="H331" t="s">
        <v>568</v>
      </c>
      <c r="I331">
        <v>200</v>
      </c>
      <c r="J331">
        <v>0</v>
      </c>
      <c r="K331" t="s">
        <v>293</v>
      </c>
      <c r="S331" t="str">
        <f t="shared" si="35"/>
        <v>31</v>
      </c>
      <c r="T331" t="s">
        <v>122</v>
      </c>
      <c r="W331" t="s">
        <v>586</v>
      </c>
      <c r="Y331">
        <v>4429</v>
      </c>
      <c r="Z331" t="s">
        <v>591</v>
      </c>
      <c r="AB331" t="s">
        <v>592</v>
      </c>
      <c r="AC331" t="s">
        <v>116</v>
      </c>
      <c r="AD331" t="s">
        <v>593</v>
      </c>
      <c r="AF331">
        <v>2022</v>
      </c>
      <c r="AG331">
        <v>3434</v>
      </c>
      <c r="AH331" t="str">
        <f t="shared" si="36"/>
        <v>7</v>
      </c>
      <c r="AI331" t="s">
        <v>576</v>
      </c>
      <c r="AJ331" s="1">
        <v>44868</v>
      </c>
      <c r="AK331" t="s">
        <v>594</v>
      </c>
      <c r="AL331">
        <v>351.2</v>
      </c>
      <c r="AN331">
        <v>2023</v>
      </c>
      <c r="AO331">
        <v>109</v>
      </c>
      <c r="AP331">
        <v>351.2</v>
      </c>
      <c r="AQ331">
        <v>0</v>
      </c>
      <c r="AR331">
        <v>0</v>
      </c>
      <c r="BA331">
        <v>351.2</v>
      </c>
      <c r="BB331" s="1">
        <v>44961</v>
      </c>
    </row>
    <row r="332" spans="1:54" x14ac:dyDescent="0.25">
      <c r="A332">
        <v>2023</v>
      </c>
      <c r="B332">
        <v>137</v>
      </c>
      <c r="C332" s="1">
        <v>44961</v>
      </c>
      <c r="D332">
        <v>2023</v>
      </c>
      <c r="E332">
        <v>2022</v>
      </c>
      <c r="F332">
        <v>747</v>
      </c>
      <c r="H332" t="s">
        <v>568</v>
      </c>
      <c r="I332">
        <v>200</v>
      </c>
      <c r="J332">
        <v>0</v>
      </c>
      <c r="K332" t="s">
        <v>293</v>
      </c>
      <c r="S332" t="str">
        <f t="shared" si="35"/>
        <v>31</v>
      </c>
      <c r="T332" t="s">
        <v>122</v>
      </c>
      <c r="W332" t="s">
        <v>569</v>
      </c>
      <c r="Y332">
        <v>4431</v>
      </c>
      <c r="Z332" t="s">
        <v>595</v>
      </c>
      <c r="AB332" t="s">
        <v>596</v>
      </c>
      <c r="AC332" t="s">
        <v>116</v>
      </c>
      <c r="AD332" t="s">
        <v>597</v>
      </c>
      <c r="AF332">
        <v>2022</v>
      </c>
      <c r="AG332">
        <v>4091</v>
      </c>
      <c r="AH332" t="str">
        <f t="shared" si="36"/>
        <v>7</v>
      </c>
      <c r="AI332" t="s">
        <v>574</v>
      </c>
      <c r="AJ332" s="1">
        <v>44882</v>
      </c>
      <c r="AK332" t="s">
        <v>569</v>
      </c>
      <c r="AL332" s="2">
        <v>2328</v>
      </c>
      <c r="AN332">
        <v>2023</v>
      </c>
      <c r="AO332">
        <v>110</v>
      </c>
      <c r="AP332" s="2">
        <v>2328</v>
      </c>
      <c r="AQ332">
        <v>0</v>
      </c>
      <c r="AR332">
        <v>0</v>
      </c>
      <c r="BA332">
        <v>2328</v>
      </c>
      <c r="BB332" s="1">
        <v>44961</v>
      </c>
    </row>
    <row r="333" spans="1:54" x14ac:dyDescent="0.25">
      <c r="A333">
        <v>2023</v>
      </c>
      <c r="B333">
        <v>138</v>
      </c>
      <c r="C333" s="1">
        <v>44961</v>
      </c>
      <c r="D333">
        <v>2023</v>
      </c>
      <c r="E333">
        <v>2022</v>
      </c>
      <c r="F333">
        <v>747</v>
      </c>
      <c r="H333" t="s">
        <v>568</v>
      </c>
      <c r="I333">
        <v>200</v>
      </c>
      <c r="J333">
        <v>0</v>
      </c>
      <c r="K333" t="s">
        <v>293</v>
      </c>
      <c r="S333" t="str">
        <f t="shared" si="35"/>
        <v>31</v>
      </c>
      <c r="T333" t="s">
        <v>122</v>
      </c>
      <c r="W333" t="s">
        <v>575</v>
      </c>
      <c r="Y333">
        <v>4431</v>
      </c>
      <c r="Z333" t="s">
        <v>595</v>
      </c>
      <c r="AB333" t="s">
        <v>596</v>
      </c>
      <c r="AC333" t="s">
        <v>116</v>
      </c>
      <c r="AD333" t="s">
        <v>597</v>
      </c>
      <c r="AF333">
        <v>2022</v>
      </c>
      <c r="AG333">
        <v>3436</v>
      </c>
      <c r="AH333" t="str">
        <f t="shared" si="36"/>
        <v>7</v>
      </c>
      <c r="AI333" t="s">
        <v>576</v>
      </c>
      <c r="AJ333" s="1">
        <v>44847</v>
      </c>
      <c r="AK333" t="s">
        <v>598</v>
      </c>
      <c r="AL333">
        <v>198</v>
      </c>
      <c r="AN333">
        <v>2023</v>
      </c>
      <c r="AO333">
        <v>111</v>
      </c>
      <c r="AP333">
        <v>198</v>
      </c>
      <c r="AQ333">
        <v>0</v>
      </c>
      <c r="AR333">
        <v>0</v>
      </c>
      <c r="BA333">
        <v>198</v>
      </c>
      <c r="BB333" s="1">
        <v>44961</v>
      </c>
    </row>
    <row r="334" spans="1:54" x14ac:dyDescent="0.25">
      <c r="A334">
        <v>2023</v>
      </c>
      <c r="B334">
        <v>139</v>
      </c>
      <c r="C334" s="1">
        <v>44961</v>
      </c>
      <c r="D334">
        <v>2023</v>
      </c>
      <c r="E334">
        <v>2022</v>
      </c>
      <c r="F334">
        <v>747</v>
      </c>
      <c r="H334" t="s">
        <v>568</v>
      </c>
      <c r="I334">
        <v>200</v>
      </c>
      <c r="J334">
        <v>0</v>
      </c>
      <c r="K334" t="s">
        <v>293</v>
      </c>
      <c r="S334" t="str">
        <f t="shared" si="35"/>
        <v>31</v>
      </c>
      <c r="T334" t="s">
        <v>122</v>
      </c>
      <c r="W334" t="s">
        <v>569</v>
      </c>
      <c r="Y334">
        <v>4430</v>
      </c>
      <c r="Z334" t="s">
        <v>599</v>
      </c>
      <c r="AB334" t="s">
        <v>600</v>
      </c>
      <c r="AC334" t="s">
        <v>116</v>
      </c>
      <c r="AD334" t="s">
        <v>601</v>
      </c>
      <c r="AF334">
        <v>2022</v>
      </c>
      <c r="AG334">
        <v>4092</v>
      </c>
      <c r="AH334" t="str">
        <f t="shared" si="36"/>
        <v>7</v>
      </c>
      <c r="AI334" t="s">
        <v>574</v>
      </c>
      <c r="AJ334" s="1">
        <v>44882</v>
      </c>
      <c r="AK334" t="s">
        <v>569</v>
      </c>
      <c r="AL334" s="2">
        <v>2560.8000000000002</v>
      </c>
      <c r="AN334">
        <v>2023</v>
      </c>
      <c r="AO334">
        <v>112</v>
      </c>
      <c r="AP334" s="2">
        <v>2560.8000000000002</v>
      </c>
      <c r="AQ334">
        <v>0</v>
      </c>
      <c r="AR334">
        <v>0</v>
      </c>
      <c r="BA334">
        <v>2560.8000000000002</v>
      </c>
      <c r="BB334" s="1">
        <v>44961</v>
      </c>
    </row>
    <row r="335" spans="1:54" x14ac:dyDescent="0.25">
      <c r="A335">
        <v>2023</v>
      </c>
      <c r="B335">
        <v>140</v>
      </c>
      <c r="C335" s="1">
        <v>44961</v>
      </c>
      <c r="D335">
        <v>2023</v>
      </c>
      <c r="E335">
        <v>2022</v>
      </c>
      <c r="F335">
        <v>747</v>
      </c>
      <c r="H335" t="s">
        <v>568</v>
      </c>
      <c r="I335">
        <v>200</v>
      </c>
      <c r="J335">
        <v>0</v>
      </c>
      <c r="K335" t="s">
        <v>293</v>
      </c>
      <c r="S335" t="str">
        <f t="shared" si="35"/>
        <v>31</v>
      </c>
      <c r="T335" t="s">
        <v>122</v>
      </c>
      <c r="W335" t="s">
        <v>575</v>
      </c>
      <c r="Y335">
        <v>4430</v>
      </c>
      <c r="Z335" t="s">
        <v>599</v>
      </c>
      <c r="AB335" t="s">
        <v>600</v>
      </c>
      <c r="AC335" t="s">
        <v>116</v>
      </c>
      <c r="AD335" t="s">
        <v>601</v>
      </c>
      <c r="AF335">
        <v>2022</v>
      </c>
      <c r="AG335">
        <v>3435</v>
      </c>
      <c r="AH335" t="str">
        <f t="shared" si="36"/>
        <v>7</v>
      </c>
      <c r="AI335" t="s">
        <v>576</v>
      </c>
      <c r="AJ335" s="1">
        <v>44847</v>
      </c>
      <c r="AK335" t="s">
        <v>602</v>
      </c>
      <c r="AL335">
        <v>78.09</v>
      </c>
      <c r="AN335">
        <v>2023</v>
      </c>
      <c r="AO335">
        <v>113</v>
      </c>
      <c r="AP335">
        <v>78.09</v>
      </c>
      <c r="AQ335">
        <v>0</v>
      </c>
      <c r="AR335">
        <v>0</v>
      </c>
      <c r="BA335">
        <v>78.09</v>
      </c>
      <c r="BB335" s="1">
        <v>44961</v>
      </c>
    </row>
    <row r="336" spans="1:54" x14ac:dyDescent="0.25">
      <c r="A336">
        <v>2023</v>
      </c>
      <c r="B336">
        <v>141</v>
      </c>
      <c r="C336" s="1">
        <v>44961</v>
      </c>
      <c r="D336">
        <v>2023</v>
      </c>
      <c r="E336">
        <v>2022</v>
      </c>
      <c r="F336">
        <v>747</v>
      </c>
      <c r="H336" t="s">
        <v>568</v>
      </c>
      <c r="I336">
        <v>200</v>
      </c>
      <c r="J336">
        <v>0</v>
      </c>
      <c r="K336" t="s">
        <v>293</v>
      </c>
      <c r="S336" t="str">
        <f t="shared" si="35"/>
        <v>31</v>
      </c>
      <c r="T336" t="s">
        <v>122</v>
      </c>
      <c r="W336" t="s">
        <v>569</v>
      </c>
      <c r="Y336">
        <v>4177</v>
      </c>
      <c r="Z336" t="s">
        <v>603</v>
      </c>
      <c r="AA336" t="s">
        <v>604</v>
      </c>
      <c r="AB336" t="s">
        <v>605</v>
      </c>
      <c r="AC336" t="s">
        <v>116</v>
      </c>
      <c r="AD336" t="s">
        <v>606</v>
      </c>
      <c r="AF336">
        <v>2022</v>
      </c>
      <c r="AG336">
        <v>4093</v>
      </c>
      <c r="AH336" t="str">
        <f t="shared" si="36"/>
        <v>7</v>
      </c>
      <c r="AI336" t="s">
        <v>574</v>
      </c>
      <c r="AJ336" s="1">
        <v>44888</v>
      </c>
      <c r="AK336" t="s">
        <v>569</v>
      </c>
      <c r="AL336" s="2">
        <v>6627.6</v>
      </c>
      <c r="AN336">
        <v>2023</v>
      </c>
      <c r="AO336">
        <v>114</v>
      </c>
      <c r="AP336" s="2">
        <v>6627.6</v>
      </c>
      <c r="AQ336">
        <v>0</v>
      </c>
      <c r="AR336">
        <v>0</v>
      </c>
      <c r="BA336">
        <v>6627.6</v>
      </c>
      <c r="BB336" s="1">
        <v>44961</v>
      </c>
    </row>
    <row r="337" spans="1:54" x14ac:dyDescent="0.25">
      <c r="A337">
        <v>2023</v>
      </c>
      <c r="B337">
        <v>142</v>
      </c>
      <c r="C337" s="1">
        <v>44961</v>
      </c>
      <c r="D337">
        <v>2023</v>
      </c>
      <c r="E337">
        <v>2022</v>
      </c>
      <c r="F337">
        <v>747</v>
      </c>
      <c r="H337" t="s">
        <v>568</v>
      </c>
      <c r="I337">
        <v>200</v>
      </c>
      <c r="J337">
        <v>0</v>
      </c>
      <c r="K337" t="s">
        <v>293</v>
      </c>
      <c r="S337" t="str">
        <f t="shared" si="35"/>
        <v>31</v>
      </c>
      <c r="T337" t="s">
        <v>122</v>
      </c>
      <c r="W337" t="s">
        <v>575</v>
      </c>
      <c r="Y337">
        <v>4177</v>
      </c>
      <c r="Z337" t="s">
        <v>603</v>
      </c>
      <c r="AA337" t="s">
        <v>604</v>
      </c>
      <c r="AB337" t="s">
        <v>605</v>
      </c>
      <c r="AC337" t="s">
        <v>116</v>
      </c>
      <c r="AD337" t="s">
        <v>606</v>
      </c>
      <c r="AF337">
        <v>2022</v>
      </c>
      <c r="AG337">
        <v>4094</v>
      </c>
      <c r="AH337" t="str">
        <f t="shared" si="36"/>
        <v>7</v>
      </c>
      <c r="AI337" t="s">
        <v>607</v>
      </c>
      <c r="AJ337" s="1">
        <v>44888</v>
      </c>
      <c r="AK337" t="s">
        <v>586</v>
      </c>
      <c r="AL337">
        <v>824.76</v>
      </c>
      <c r="AN337">
        <v>2023</v>
      </c>
      <c r="AO337">
        <v>115</v>
      </c>
      <c r="AP337">
        <v>824.76</v>
      </c>
      <c r="AQ337">
        <v>0</v>
      </c>
      <c r="AR337">
        <v>0</v>
      </c>
      <c r="BA337">
        <v>824.76</v>
      </c>
      <c r="BB337" s="1">
        <v>44961</v>
      </c>
    </row>
    <row r="338" spans="1:54" x14ac:dyDescent="0.25">
      <c r="A338">
        <v>2023</v>
      </c>
      <c r="B338">
        <v>143</v>
      </c>
      <c r="C338" s="1">
        <v>44961</v>
      </c>
      <c r="D338">
        <v>2023</v>
      </c>
      <c r="E338">
        <v>2022</v>
      </c>
      <c r="F338">
        <v>747</v>
      </c>
      <c r="H338" t="s">
        <v>568</v>
      </c>
      <c r="I338">
        <v>200</v>
      </c>
      <c r="J338">
        <v>0</v>
      </c>
      <c r="K338" t="s">
        <v>293</v>
      </c>
      <c r="S338" t="str">
        <f t="shared" si="35"/>
        <v>31</v>
      </c>
      <c r="T338" t="s">
        <v>122</v>
      </c>
      <c r="W338" t="s">
        <v>569</v>
      </c>
      <c r="Y338">
        <v>4432</v>
      </c>
      <c r="Z338" t="s">
        <v>608</v>
      </c>
      <c r="AB338" t="s">
        <v>609</v>
      </c>
      <c r="AC338" t="s">
        <v>116</v>
      </c>
      <c r="AD338" t="s">
        <v>610</v>
      </c>
      <c r="AF338">
        <v>2022</v>
      </c>
      <c r="AG338">
        <v>4095</v>
      </c>
      <c r="AH338" t="str">
        <f t="shared" si="36"/>
        <v>7</v>
      </c>
      <c r="AI338" t="s">
        <v>574</v>
      </c>
      <c r="AJ338" s="1">
        <v>44888</v>
      </c>
      <c r="AK338" t="s">
        <v>569</v>
      </c>
      <c r="AL338" s="2">
        <v>2280</v>
      </c>
      <c r="AN338">
        <v>2023</v>
      </c>
      <c r="AO338">
        <v>116</v>
      </c>
      <c r="AP338" s="2">
        <v>2280</v>
      </c>
      <c r="AQ338">
        <v>0</v>
      </c>
      <c r="AR338">
        <v>0</v>
      </c>
      <c r="BA338">
        <v>2280</v>
      </c>
      <c r="BB338" s="1">
        <v>44961</v>
      </c>
    </row>
    <row r="339" spans="1:54" x14ac:dyDescent="0.25">
      <c r="A339">
        <v>2023</v>
      </c>
      <c r="B339">
        <v>144</v>
      </c>
      <c r="C339" s="1">
        <v>44961</v>
      </c>
      <c r="D339">
        <v>2023</v>
      </c>
      <c r="E339">
        <v>2022</v>
      </c>
      <c r="F339">
        <v>747</v>
      </c>
      <c r="H339" t="s">
        <v>568</v>
      </c>
      <c r="I339">
        <v>200</v>
      </c>
      <c r="J339">
        <v>0</v>
      </c>
      <c r="K339" t="s">
        <v>293</v>
      </c>
      <c r="S339" t="str">
        <f t="shared" si="35"/>
        <v>31</v>
      </c>
      <c r="T339" t="s">
        <v>122</v>
      </c>
      <c r="W339" t="s">
        <v>575</v>
      </c>
      <c r="Y339">
        <v>4432</v>
      </c>
      <c r="Z339" t="s">
        <v>608</v>
      </c>
      <c r="AB339" t="s">
        <v>609</v>
      </c>
      <c r="AC339" t="s">
        <v>116</v>
      </c>
      <c r="AD339" t="s">
        <v>610</v>
      </c>
      <c r="AF339">
        <v>2022</v>
      </c>
      <c r="AG339">
        <v>4096</v>
      </c>
      <c r="AH339" t="str">
        <f t="shared" si="36"/>
        <v>7</v>
      </c>
      <c r="AI339" t="s">
        <v>607</v>
      </c>
      <c r="AJ339" s="1">
        <v>44888</v>
      </c>
      <c r="AK339" t="s">
        <v>575</v>
      </c>
      <c r="AL339">
        <v>483.84</v>
      </c>
      <c r="AN339">
        <v>2023</v>
      </c>
      <c r="AO339">
        <v>117</v>
      </c>
      <c r="AP339">
        <v>483.84</v>
      </c>
      <c r="AQ339">
        <v>0</v>
      </c>
      <c r="AR339">
        <v>0</v>
      </c>
      <c r="BA339">
        <v>483.84</v>
      </c>
      <c r="BB339" s="1">
        <v>44961</v>
      </c>
    </row>
    <row r="340" spans="1:54" x14ac:dyDescent="0.25">
      <c r="A340">
        <v>2023</v>
      </c>
      <c r="B340">
        <v>145</v>
      </c>
      <c r="C340" s="1">
        <v>44961</v>
      </c>
      <c r="D340">
        <v>2023</v>
      </c>
      <c r="E340">
        <v>2022</v>
      </c>
      <c r="F340">
        <v>747</v>
      </c>
      <c r="H340" t="s">
        <v>568</v>
      </c>
      <c r="I340">
        <v>200</v>
      </c>
      <c r="J340">
        <v>0</v>
      </c>
      <c r="K340" t="s">
        <v>293</v>
      </c>
      <c r="S340" t="str">
        <f t="shared" si="35"/>
        <v>31</v>
      </c>
      <c r="T340" t="s">
        <v>122</v>
      </c>
      <c r="W340" t="s">
        <v>569</v>
      </c>
      <c r="Y340">
        <v>4433</v>
      </c>
      <c r="Z340" t="s">
        <v>611</v>
      </c>
      <c r="AB340" t="s">
        <v>612</v>
      </c>
      <c r="AC340" t="s">
        <v>116</v>
      </c>
      <c r="AD340" t="s">
        <v>613</v>
      </c>
      <c r="AF340">
        <v>2022</v>
      </c>
      <c r="AG340">
        <v>4097</v>
      </c>
      <c r="AH340" t="str">
        <f t="shared" si="36"/>
        <v>7</v>
      </c>
      <c r="AI340" t="s">
        <v>574</v>
      </c>
      <c r="AJ340" s="1">
        <v>44882</v>
      </c>
      <c r="AK340" t="s">
        <v>569</v>
      </c>
      <c r="AL340">
        <v>71</v>
      </c>
      <c r="AN340">
        <v>2023</v>
      </c>
      <c r="AO340">
        <v>118</v>
      </c>
      <c r="AP340">
        <v>71</v>
      </c>
      <c r="AQ340">
        <v>0</v>
      </c>
      <c r="AR340">
        <v>0</v>
      </c>
      <c r="BA340">
        <v>71</v>
      </c>
      <c r="BB340" s="1">
        <v>44961</v>
      </c>
    </row>
    <row r="341" spans="1:54" x14ac:dyDescent="0.25">
      <c r="A341">
        <v>2023</v>
      </c>
      <c r="B341">
        <v>146</v>
      </c>
      <c r="C341" s="1">
        <v>44961</v>
      </c>
      <c r="D341">
        <v>2023</v>
      </c>
      <c r="E341">
        <v>2022</v>
      </c>
      <c r="F341">
        <v>747</v>
      </c>
      <c r="H341" t="s">
        <v>568</v>
      </c>
      <c r="I341">
        <v>200</v>
      </c>
      <c r="J341">
        <v>0</v>
      </c>
      <c r="K341" t="s">
        <v>293</v>
      </c>
      <c r="S341" t="str">
        <f t="shared" si="35"/>
        <v>31</v>
      </c>
      <c r="T341" t="s">
        <v>122</v>
      </c>
      <c r="W341" t="s">
        <v>575</v>
      </c>
      <c r="Y341">
        <v>4433</v>
      </c>
      <c r="Z341" t="s">
        <v>611</v>
      </c>
      <c r="AB341" t="s">
        <v>612</v>
      </c>
      <c r="AC341" t="s">
        <v>116</v>
      </c>
      <c r="AD341" t="s">
        <v>613</v>
      </c>
      <c r="AF341">
        <v>2022</v>
      </c>
      <c r="AG341">
        <v>3433</v>
      </c>
      <c r="AH341" t="str">
        <f t="shared" si="36"/>
        <v>7</v>
      </c>
      <c r="AI341" t="s">
        <v>576</v>
      </c>
      <c r="AJ341" s="1">
        <v>44879</v>
      </c>
      <c r="AK341" t="s">
        <v>598</v>
      </c>
      <c r="AL341">
        <v>80.64</v>
      </c>
      <c r="AN341">
        <v>2023</v>
      </c>
      <c r="AO341">
        <v>119</v>
      </c>
      <c r="AP341">
        <v>80.64</v>
      </c>
      <c r="AQ341">
        <v>0</v>
      </c>
      <c r="AR341">
        <v>0</v>
      </c>
      <c r="BA341">
        <v>80.64</v>
      </c>
      <c r="BB341" s="1">
        <v>44961</v>
      </c>
    </row>
    <row r="342" spans="1:54" x14ac:dyDescent="0.25">
      <c r="A342">
        <v>2023</v>
      </c>
      <c r="B342">
        <v>147</v>
      </c>
      <c r="C342" s="1">
        <v>44961</v>
      </c>
      <c r="D342">
        <v>2023</v>
      </c>
      <c r="E342">
        <v>2022</v>
      </c>
      <c r="F342">
        <v>747</v>
      </c>
      <c r="H342" t="s">
        <v>568</v>
      </c>
      <c r="I342">
        <v>200</v>
      </c>
      <c r="J342">
        <v>0</v>
      </c>
      <c r="K342" t="s">
        <v>293</v>
      </c>
      <c r="S342" t="str">
        <f t="shared" si="35"/>
        <v>31</v>
      </c>
      <c r="T342" t="s">
        <v>122</v>
      </c>
      <c r="W342" t="s">
        <v>569</v>
      </c>
      <c r="Y342">
        <v>4439</v>
      </c>
      <c r="Z342" t="s">
        <v>614</v>
      </c>
      <c r="AA342" t="s">
        <v>615</v>
      </c>
      <c r="AB342" t="s">
        <v>616</v>
      </c>
      <c r="AC342" t="s">
        <v>116</v>
      </c>
      <c r="AD342" t="s">
        <v>617</v>
      </c>
      <c r="AF342">
        <v>2022</v>
      </c>
      <c r="AG342">
        <v>4098</v>
      </c>
      <c r="AH342" t="str">
        <f t="shared" si="36"/>
        <v>7</v>
      </c>
      <c r="AI342" t="s">
        <v>574</v>
      </c>
      <c r="AJ342" s="1">
        <v>44882</v>
      </c>
      <c r="AK342" t="s">
        <v>569</v>
      </c>
      <c r="AL342">
        <v>708</v>
      </c>
      <c r="AN342">
        <v>2023</v>
      </c>
      <c r="AO342">
        <v>120</v>
      </c>
      <c r="AP342">
        <v>708</v>
      </c>
      <c r="AQ342">
        <v>0</v>
      </c>
      <c r="AR342">
        <v>0</v>
      </c>
      <c r="BA342">
        <v>708</v>
      </c>
      <c r="BB342" s="1">
        <v>44961</v>
      </c>
    </row>
    <row r="343" spans="1:54" x14ac:dyDescent="0.25">
      <c r="A343">
        <v>2023</v>
      </c>
      <c r="B343">
        <v>148</v>
      </c>
      <c r="C343" s="1">
        <v>44961</v>
      </c>
      <c r="D343">
        <v>2023</v>
      </c>
      <c r="E343">
        <v>2022</v>
      </c>
      <c r="F343">
        <v>747</v>
      </c>
      <c r="H343" t="s">
        <v>568</v>
      </c>
      <c r="I343">
        <v>200</v>
      </c>
      <c r="J343">
        <v>0</v>
      </c>
      <c r="K343" t="s">
        <v>293</v>
      </c>
      <c r="S343" t="str">
        <f t="shared" si="35"/>
        <v>31</v>
      </c>
      <c r="T343" t="s">
        <v>122</v>
      </c>
      <c r="W343" t="s">
        <v>569</v>
      </c>
      <c r="Y343">
        <v>4607</v>
      </c>
      <c r="Z343" t="s">
        <v>618</v>
      </c>
      <c r="AB343" t="s">
        <v>619</v>
      </c>
      <c r="AC343" t="s">
        <v>116</v>
      </c>
      <c r="AD343" t="s">
        <v>620</v>
      </c>
      <c r="AF343">
        <v>2022</v>
      </c>
      <c r="AG343">
        <v>4099</v>
      </c>
      <c r="AH343" t="str">
        <f t="shared" si="36"/>
        <v>7</v>
      </c>
      <c r="AI343" t="s">
        <v>574</v>
      </c>
      <c r="AJ343" s="1">
        <v>44882</v>
      </c>
      <c r="AK343" t="s">
        <v>569</v>
      </c>
      <c r="AL343">
        <v>708</v>
      </c>
      <c r="AN343">
        <v>2023</v>
      </c>
      <c r="AO343">
        <v>121</v>
      </c>
      <c r="AP343">
        <v>708</v>
      </c>
      <c r="AQ343">
        <v>0</v>
      </c>
      <c r="AR343">
        <v>0</v>
      </c>
      <c r="BA343">
        <v>708</v>
      </c>
      <c r="BB343" s="1">
        <v>44961</v>
      </c>
    </row>
    <row r="344" spans="1:54" x14ac:dyDescent="0.25">
      <c r="A344">
        <v>2023</v>
      </c>
      <c r="B344">
        <v>149</v>
      </c>
      <c r="C344" s="1">
        <v>44961</v>
      </c>
      <c r="D344">
        <v>2023</v>
      </c>
      <c r="E344">
        <v>2022</v>
      </c>
      <c r="F344">
        <v>747</v>
      </c>
      <c r="H344" t="s">
        <v>568</v>
      </c>
      <c r="I344">
        <v>200</v>
      </c>
      <c r="J344">
        <v>0</v>
      </c>
      <c r="K344" t="s">
        <v>293</v>
      </c>
      <c r="S344" t="str">
        <f t="shared" si="35"/>
        <v>31</v>
      </c>
      <c r="T344" t="s">
        <v>122</v>
      </c>
      <c r="W344" t="s">
        <v>575</v>
      </c>
      <c r="Y344">
        <v>4606</v>
      </c>
      <c r="Z344" t="s">
        <v>621</v>
      </c>
      <c r="AB344" t="s">
        <v>619</v>
      </c>
      <c r="AC344" t="s">
        <v>116</v>
      </c>
      <c r="AD344" t="s">
        <v>620</v>
      </c>
      <c r="AF344">
        <v>2022</v>
      </c>
      <c r="AG344">
        <v>3437</v>
      </c>
      <c r="AH344" t="str">
        <f t="shared" si="36"/>
        <v>7</v>
      </c>
      <c r="AI344" t="s">
        <v>607</v>
      </c>
      <c r="AJ344" s="1">
        <v>44873</v>
      </c>
      <c r="AK344" t="s">
        <v>598</v>
      </c>
      <c r="AL344">
        <v>144</v>
      </c>
      <c r="AN344">
        <v>2023</v>
      </c>
      <c r="AO344">
        <v>123</v>
      </c>
      <c r="AP344">
        <v>144</v>
      </c>
      <c r="AQ344">
        <v>0</v>
      </c>
      <c r="AR344">
        <v>0</v>
      </c>
      <c r="BA344">
        <v>144</v>
      </c>
      <c r="BB344" s="1">
        <v>44961</v>
      </c>
    </row>
    <row r="345" spans="1:54" x14ac:dyDescent="0.25">
      <c r="A345">
        <v>2023</v>
      </c>
      <c r="B345">
        <v>150</v>
      </c>
      <c r="C345" s="1">
        <v>44961</v>
      </c>
      <c r="D345">
        <v>2023</v>
      </c>
      <c r="E345">
        <v>2022</v>
      </c>
      <c r="F345">
        <v>747</v>
      </c>
      <c r="H345" t="s">
        <v>568</v>
      </c>
      <c r="I345">
        <v>200</v>
      </c>
      <c r="J345">
        <v>0</v>
      </c>
      <c r="K345" t="s">
        <v>293</v>
      </c>
      <c r="S345" t="str">
        <f t="shared" si="35"/>
        <v>31</v>
      </c>
      <c r="T345" t="s">
        <v>122</v>
      </c>
      <c r="W345" t="s">
        <v>569</v>
      </c>
      <c r="Y345">
        <v>4434</v>
      </c>
      <c r="Z345" t="s">
        <v>622</v>
      </c>
      <c r="AA345" t="s">
        <v>623</v>
      </c>
      <c r="AB345" t="s">
        <v>624</v>
      </c>
      <c r="AC345" t="s">
        <v>116</v>
      </c>
      <c r="AD345" t="s">
        <v>625</v>
      </c>
      <c r="AF345">
        <v>2022</v>
      </c>
      <c r="AG345">
        <v>4100</v>
      </c>
      <c r="AH345" t="str">
        <f t="shared" si="36"/>
        <v>7</v>
      </c>
      <c r="AI345" t="s">
        <v>574</v>
      </c>
      <c r="AJ345" s="1">
        <v>44882</v>
      </c>
      <c r="AK345" t="s">
        <v>569</v>
      </c>
      <c r="AL345" s="2">
        <v>1557.6</v>
      </c>
      <c r="AN345">
        <v>2023</v>
      </c>
      <c r="AO345">
        <v>124</v>
      </c>
      <c r="AP345" s="2">
        <v>1557.6</v>
      </c>
      <c r="AQ345">
        <v>0</v>
      </c>
      <c r="AR345">
        <v>0</v>
      </c>
      <c r="BA345">
        <v>1557.6</v>
      </c>
      <c r="BB345" s="1">
        <v>44961</v>
      </c>
    </row>
    <row r="346" spans="1:54" x14ac:dyDescent="0.25">
      <c r="A346">
        <v>2023</v>
      </c>
      <c r="B346">
        <v>151</v>
      </c>
      <c r="C346" s="1">
        <v>44961</v>
      </c>
      <c r="D346">
        <v>2023</v>
      </c>
      <c r="E346">
        <v>2022</v>
      </c>
      <c r="F346">
        <v>747</v>
      </c>
      <c r="H346" t="s">
        <v>568</v>
      </c>
      <c r="I346">
        <v>200</v>
      </c>
      <c r="J346">
        <v>0</v>
      </c>
      <c r="K346" t="s">
        <v>293</v>
      </c>
      <c r="S346" t="str">
        <f t="shared" si="35"/>
        <v>31</v>
      </c>
      <c r="T346" t="s">
        <v>122</v>
      </c>
      <c r="W346" t="s">
        <v>575</v>
      </c>
      <c r="Y346">
        <v>4434</v>
      </c>
      <c r="Z346" t="s">
        <v>622</v>
      </c>
      <c r="AA346" t="s">
        <v>623</v>
      </c>
      <c r="AB346" t="s">
        <v>624</v>
      </c>
      <c r="AC346" t="s">
        <v>116</v>
      </c>
      <c r="AD346" t="s">
        <v>625</v>
      </c>
      <c r="AF346">
        <v>2022</v>
      </c>
      <c r="AG346">
        <v>3438</v>
      </c>
      <c r="AH346" t="str">
        <f t="shared" si="36"/>
        <v>7</v>
      </c>
      <c r="AI346" t="s">
        <v>607</v>
      </c>
      <c r="AJ346" s="1">
        <v>44873</v>
      </c>
      <c r="AK346" t="s">
        <v>598</v>
      </c>
      <c r="AL346">
        <v>138.96</v>
      </c>
      <c r="AN346">
        <v>2023</v>
      </c>
      <c r="AO346">
        <v>126</v>
      </c>
      <c r="AP346">
        <v>138.96</v>
      </c>
      <c r="AQ346">
        <v>0</v>
      </c>
      <c r="AR346">
        <v>0</v>
      </c>
      <c r="BA346">
        <v>138.96</v>
      </c>
      <c r="BB346" s="1">
        <v>44961</v>
      </c>
    </row>
    <row r="347" spans="1:54" x14ac:dyDescent="0.25">
      <c r="A347">
        <v>2023</v>
      </c>
      <c r="B347">
        <v>152</v>
      </c>
      <c r="C347" s="1">
        <v>44961</v>
      </c>
      <c r="D347">
        <v>2023</v>
      </c>
      <c r="E347">
        <v>2022</v>
      </c>
      <c r="F347">
        <v>747</v>
      </c>
      <c r="H347" t="s">
        <v>568</v>
      </c>
      <c r="I347">
        <v>200</v>
      </c>
      <c r="J347">
        <v>0</v>
      </c>
      <c r="K347" t="s">
        <v>293</v>
      </c>
      <c r="S347" t="str">
        <f t="shared" si="35"/>
        <v>31</v>
      </c>
      <c r="T347" t="s">
        <v>122</v>
      </c>
      <c r="W347" t="s">
        <v>569</v>
      </c>
      <c r="Y347">
        <v>4441</v>
      </c>
      <c r="Z347" t="s">
        <v>626</v>
      </c>
      <c r="AB347" t="s">
        <v>627</v>
      </c>
      <c r="AC347" t="s">
        <v>116</v>
      </c>
      <c r="AD347" t="s">
        <v>628</v>
      </c>
      <c r="AF347">
        <v>2022</v>
      </c>
      <c r="AG347">
        <v>4101</v>
      </c>
      <c r="AH347" t="str">
        <f t="shared" si="36"/>
        <v>7</v>
      </c>
      <c r="AI347" t="s">
        <v>574</v>
      </c>
      <c r="AJ347" s="1">
        <v>44846</v>
      </c>
      <c r="AK347" t="s">
        <v>569</v>
      </c>
      <c r="AL347">
        <v>441</v>
      </c>
      <c r="AN347">
        <v>2023</v>
      </c>
      <c r="AO347">
        <v>127</v>
      </c>
      <c r="AP347">
        <v>441</v>
      </c>
      <c r="AQ347">
        <v>0</v>
      </c>
      <c r="AR347">
        <v>0</v>
      </c>
      <c r="BA347">
        <v>441</v>
      </c>
      <c r="BB347" s="1">
        <v>44961</v>
      </c>
    </row>
    <row r="348" spans="1:54" x14ac:dyDescent="0.25">
      <c r="A348">
        <v>2023</v>
      </c>
      <c r="B348">
        <v>153</v>
      </c>
      <c r="C348" s="1">
        <v>44961</v>
      </c>
      <c r="D348">
        <v>2023</v>
      </c>
      <c r="E348">
        <v>2022</v>
      </c>
      <c r="F348">
        <v>747</v>
      </c>
      <c r="H348" t="s">
        <v>568</v>
      </c>
      <c r="I348">
        <v>200</v>
      </c>
      <c r="J348">
        <v>0</v>
      </c>
      <c r="K348" t="s">
        <v>293</v>
      </c>
      <c r="S348" t="str">
        <f t="shared" si="35"/>
        <v>31</v>
      </c>
      <c r="T348" t="s">
        <v>122</v>
      </c>
      <c r="W348" t="s">
        <v>575</v>
      </c>
      <c r="Y348">
        <v>4441</v>
      </c>
      <c r="Z348" t="s">
        <v>626</v>
      </c>
      <c r="AB348" t="s">
        <v>627</v>
      </c>
      <c r="AC348" t="s">
        <v>116</v>
      </c>
      <c r="AD348" t="s">
        <v>628</v>
      </c>
      <c r="AF348">
        <v>2022</v>
      </c>
      <c r="AG348">
        <v>3439</v>
      </c>
      <c r="AH348" t="str">
        <f t="shared" si="36"/>
        <v>7</v>
      </c>
      <c r="AI348" t="s">
        <v>607</v>
      </c>
      <c r="AJ348" s="1">
        <v>44846</v>
      </c>
      <c r="AK348" t="s">
        <v>598</v>
      </c>
      <c r="AL348">
        <v>90.6</v>
      </c>
      <c r="AN348">
        <v>2023</v>
      </c>
      <c r="AO348">
        <v>128</v>
      </c>
      <c r="AP348">
        <v>90.6</v>
      </c>
      <c r="AQ348">
        <v>0</v>
      </c>
      <c r="AR348">
        <v>0</v>
      </c>
      <c r="BA348">
        <v>90.6</v>
      </c>
      <c r="BB348" s="1">
        <v>44961</v>
      </c>
    </row>
    <row r="349" spans="1:54" x14ac:dyDescent="0.25">
      <c r="A349">
        <v>2023</v>
      </c>
      <c r="B349">
        <v>154</v>
      </c>
      <c r="C349" s="1">
        <v>44961</v>
      </c>
      <c r="D349">
        <v>2023</v>
      </c>
      <c r="E349">
        <v>2022</v>
      </c>
      <c r="F349">
        <v>747</v>
      </c>
      <c r="H349" t="s">
        <v>568</v>
      </c>
      <c r="I349">
        <v>200</v>
      </c>
      <c r="J349">
        <v>0</v>
      </c>
      <c r="K349" t="s">
        <v>293</v>
      </c>
      <c r="S349" t="str">
        <f t="shared" si="35"/>
        <v>31</v>
      </c>
      <c r="T349" t="s">
        <v>122</v>
      </c>
      <c r="W349" t="s">
        <v>569</v>
      </c>
      <c r="Y349">
        <v>4442</v>
      </c>
      <c r="Z349" t="s">
        <v>629</v>
      </c>
      <c r="AA349" t="s">
        <v>630</v>
      </c>
      <c r="AB349" t="s">
        <v>631</v>
      </c>
      <c r="AC349" t="s">
        <v>116</v>
      </c>
      <c r="AD349" t="s">
        <v>632</v>
      </c>
      <c r="AF349">
        <v>2023</v>
      </c>
      <c r="AG349">
        <v>56</v>
      </c>
      <c r="AH349" t="str">
        <f t="shared" si="36"/>
        <v>7</v>
      </c>
      <c r="AI349" t="s">
        <v>574</v>
      </c>
      <c r="AJ349" s="1">
        <v>44939</v>
      </c>
      <c r="AK349" t="s">
        <v>569</v>
      </c>
      <c r="AL349" s="2">
        <v>2037</v>
      </c>
      <c r="AN349">
        <v>2023</v>
      </c>
      <c r="AO349">
        <v>129</v>
      </c>
      <c r="AP349" s="2">
        <v>2037</v>
      </c>
      <c r="AQ349">
        <v>0</v>
      </c>
      <c r="AR349">
        <v>0</v>
      </c>
      <c r="BA349">
        <v>2037</v>
      </c>
      <c r="BB349" s="1">
        <v>44961</v>
      </c>
    </row>
    <row r="350" spans="1:54" x14ac:dyDescent="0.25">
      <c r="A350">
        <v>2023</v>
      </c>
      <c r="B350">
        <v>155</v>
      </c>
      <c r="C350" s="1">
        <v>44961</v>
      </c>
      <c r="D350">
        <v>2023</v>
      </c>
      <c r="E350">
        <v>2022</v>
      </c>
      <c r="F350">
        <v>747</v>
      </c>
      <c r="H350" t="s">
        <v>568</v>
      </c>
      <c r="I350">
        <v>200</v>
      </c>
      <c r="J350">
        <v>0</v>
      </c>
      <c r="K350" t="s">
        <v>293</v>
      </c>
      <c r="S350" t="str">
        <f t="shared" si="35"/>
        <v>31</v>
      </c>
      <c r="T350" t="s">
        <v>122</v>
      </c>
      <c r="W350" t="s">
        <v>575</v>
      </c>
      <c r="Y350">
        <v>4442</v>
      </c>
      <c r="Z350" t="s">
        <v>629</v>
      </c>
      <c r="AA350" t="s">
        <v>630</v>
      </c>
      <c r="AB350" t="s">
        <v>631</v>
      </c>
      <c r="AC350" t="s">
        <v>116</v>
      </c>
      <c r="AD350" t="s">
        <v>632</v>
      </c>
      <c r="AF350">
        <v>2023</v>
      </c>
      <c r="AG350">
        <v>58</v>
      </c>
      <c r="AH350" t="str">
        <f t="shared" si="36"/>
        <v>7</v>
      </c>
      <c r="AI350" t="s">
        <v>607</v>
      </c>
      <c r="AJ350" s="1">
        <v>44902</v>
      </c>
      <c r="AK350" t="s">
        <v>575</v>
      </c>
      <c r="AL350">
        <v>307.35000000000002</v>
      </c>
      <c r="AN350">
        <v>2023</v>
      </c>
      <c r="AO350">
        <v>130</v>
      </c>
      <c r="AP350">
        <v>307.35000000000002</v>
      </c>
      <c r="AQ350">
        <v>0</v>
      </c>
      <c r="AR350">
        <v>0</v>
      </c>
      <c r="BA350">
        <v>307.35000000000002</v>
      </c>
      <c r="BB350" s="1">
        <v>44961</v>
      </c>
    </row>
    <row r="351" spans="1:54" x14ac:dyDescent="0.25">
      <c r="A351">
        <v>2023</v>
      </c>
      <c r="B351">
        <v>156</v>
      </c>
      <c r="C351" s="1">
        <v>44961</v>
      </c>
      <c r="D351">
        <v>2023</v>
      </c>
      <c r="E351">
        <v>2022</v>
      </c>
      <c r="F351">
        <v>747</v>
      </c>
      <c r="H351" t="s">
        <v>568</v>
      </c>
      <c r="I351">
        <v>200</v>
      </c>
      <c r="J351">
        <v>0</v>
      </c>
      <c r="K351" t="s">
        <v>293</v>
      </c>
      <c r="S351" t="str">
        <f t="shared" si="35"/>
        <v>31</v>
      </c>
      <c r="T351" t="s">
        <v>122</v>
      </c>
      <c r="W351" t="s">
        <v>569</v>
      </c>
      <c r="Y351">
        <v>4454</v>
      </c>
      <c r="Z351" t="s">
        <v>633</v>
      </c>
      <c r="AA351" t="s">
        <v>634</v>
      </c>
      <c r="AB351" t="s">
        <v>635</v>
      </c>
      <c r="AC351" t="s">
        <v>116</v>
      </c>
      <c r="AD351" t="s">
        <v>636</v>
      </c>
      <c r="AF351">
        <v>2022</v>
      </c>
      <c r="AG351">
        <v>4111</v>
      </c>
      <c r="AH351" t="str">
        <f t="shared" si="36"/>
        <v>7</v>
      </c>
      <c r="AI351" t="s">
        <v>574</v>
      </c>
      <c r="AJ351" s="1">
        <v>44845</v>
      </c>
      <c r="AK351" t="s">
        <v>569</v>
      </c>
      <c r="AL351" s="2">
        <v>1656</v>
      </c>
      <c r="AN351">
        <v>2023</v>
      </c>
      <c r="AO351">
        <v>131</v>
      </c>
      <c r="AP351" s="2">
        <v>1656</v>
      </c>
      <c r="AQ351">
        <v>0</v>
      </c>
      <c r="AR351">
        <v>0</v>
      </c>
      <c r="BA351">
        <v>1656</v>
      </c>
      <c r="BB351" s="1">
        <v>44961</v>
      </c>
    </row>
    <row r="352" spans="1:54" x14ac:dyDescent="0.25">
      <c r="A352">
        <v>2023</v>
      </c>
      <c r="B352">
        <v>157</v>
      </c>
      <c r="C352" s="1">
        <v>44961</v>
      </c>
      <c r="D352">
        <v>2023</v>
      </c>
      <c r="E352">
        <v>2022</v>
      </c>
      <c r="F352">
        <v>747</v>
      </c>
      <c r="H352" t="s">
        <v>568</v>
      </c>
      <c r="I352">
        <v>200</v>
      </c>
      <c r="J352">
        <v>0</v>
      </c>
      <c r="K352" t="s">
        <v>293</v>
      </c>
      <c r="S352" t="str">
        <f t="shared" si="35"/>
        <v>31</v>
      </c>
      <c r="T352" t="s">
        <v>122</v>
      </c>
      <c r="W352" t="s">
        <v>575</v>
      </c>
      <c r="Y352">
        <v>4454</v>
      </c>
      <c r="Z352" t="s">
        <v>633</v>
      </c>
      <c r="AA352" t="s">
        <v>634</v>
      </c>
      <c r="AB352" t="s">
        <v>635</v>
      </c>
      <c r="AC352" t="s">
        <v>116</v>
      </c>
      <c r="AD352" t="s">
        <v>636</v>
      </c>
      <c r="AF352">
        <v>2022</v>
      </c>
      <c r="AG352">
        <v>4112</v>
      </c>
      <c r="AH352" t="str">
        <f t="shared" si="36"/>
        <v>7</v>
      </c>
      <c r="AI352" t="s">
        <v>574</v>
      </c>
      <c r="AJ352" s="1">
        <v>44845</v>
      </c>
      <c r="AK352" t="s">
        <v>575</v>
      </c>
      <c r="AL352">
        <v>180</v>
      </c>
      <c r="AN352">
        <v>2023</v>
      </c>
      <c r="AO352">
        <v>132</v>
      </c>
      <c r="AP352">
        <v>180</v>
      </c>
      <c r="AQ352">
        <v>0</v>
      </c>
      <c r="AR352">
        <v>0</v>
      </c>
      <c r="BA352">
        <v>180</v>
      </c>
      <c r="BB352" s="1">
        <v>44961</v>
      </c>
    </row>
    <row r="353" spans="1:54" x14ac:dyDescent="0.25">
      <c r="A353">
        <v>2023</v>
      </c>
      <c r="B353">
        <v>158</v>
      </c>
      <c r="C353" s="1">
        <v>44961</v>
      </c>
      <c r="D353">
        <v>2023</v>
      </c>
      <c r="E353">
        <v>2022</v>
      </c>
      <c r="F353">
        <v>747</v>
      </c>
      <c r="H353" t="s">
        <v>568</v>
      </c>
      <c r="I353">
        <v>200</v>
      </c>
      <c r="J353">
        <v>0</v>
      </c>
      <c r="K353" t="s">
        <v>293</v>
      </c>
      <c r="S353" t="str">
        <f t="shared" si="35"/>
        <v>31</v>
      </c>
      <c r="T353" t="s">
        <v>122</v>
      </c>
      <c r="W353" t="s">
        <v>569</v>
      </c>
      <c r="Y353">
        <v>2491</v>
      </c>
      <c r="Z353" t="s">
        <v>637</v>
      </c>
      <c r="AA353" t="s">
        <v>638</v>
      </c>
      <c r="AB353" t="s">
        <v>639</v>
      </c>
      <c r="AC353" t="s">
        <v>116</v>
      </c>
      <c r="AD353" t="s">
        <v>640</v>
      </c>
      <c r="AF353">
        <v>2022</v>
      </c>
      <c r="AG353">
        <v>4109</v>
      </c>
      <c r="AH353" t="str">
        <f t="shared" si="36"/>
        <v>7</v>
      </c>
      <c r="AI353" t="s">
        <v>574</v>
      </c>
      <c r="AJ353" s="1">
        <v>44846</v>
      </c>
      <c r="AK353" t="s">
        <v>569</v>
      </c>
      <c r="AL353" s="2">
        <v>1821.6</v>
      </c>
      <c r="AN353">
        <v>2023</v>
      </c>
      <c r="AO353">
        <v>133</v>
      </c>
      <c r="AP353" s="2">
        <v>1821.6</v>
      </c>
      <c r="AQ353">
        <v>0</v>
      </c>
      <c r="AR353">
        <v>0</v>
      </c>
      <c r="BA353">
        <v>1821.6</v>
      </c>
      <c r="BB353" s="1">
        <v>44961</v>
      </c>
    </row>
    <row r="354" spans="1:54" x14ac:dyDescent="0.25">
      <c r="A354">
        <v>2023</v>
      </c>
      <c r="B354">
        <v>159</v>
      </c>
      <c r="C354" s="1">
        <v>44961</v>
      </c>
      <c r="D354">
        <v>2023</v>
      </c>
      <c r="E354">
        <v>2022</v>
      </c>
      <c r="F354">
        <v>747</v>
      </c>
      <c r="H354" t="s">
        <v>568</v>
      </c>
      <c r="I354">
        <v>200</v>
      </c>
      <c r="J354">
        <v>0</v>
      </c>
      <c r="K354" t="s">
        <v>293</v>
      </c>
      <c r="S354" t="str">
        <f t="shared" si="35"/>
        <v>31</v>
      </c>
      <c r="T354" t="s">
        <v>122</v>
      </c>
      <c r="W354" t="s">
        <v>575</v>
      </c>
      <c r="Y354">
        <v>2491</v>
      </c>
      <c r="Z354" t="s">
        <v>637</v>
      </c>
      <c r="AA354" t="s">
        <v>638</v>
      </c>
      <c r="AB354" t="s">
        <v>639</v>
      </c>
      <c r="AC354" t="s">
        <v>116</v>
      </c>
      <c r="AD354" t="s">
        <v>640</v>
      </c>
      <c r="AF354">
        <v>2022</v>
      </c>
      <c r="AG354">
        <v>4110</v>
      </c>
      <c r="AH354" t="str">
        <f t="shared" si="36"/>
        <v>7</v>
      </c>
      <c r="AI354" t="s">
        <v>607</v>
      </c>
      <c r="AJ354" s="1">
        <v>44846</v>
      </c>
      <c r="AK354" t="s">
        <v>575</v>
      </c>
      <c r="AL354">
        <v>188.79</v>
      </c>
      <c r="AN354">
        <v>2023</v>
      </c>
      <c r="AO354">
        <v>134</v>
      </c>
      <c r="AP354">
        <v>188.79</v>
      </c>
      <c r="AQ354">
        <v>0</v>
      </c>
      <c r="AR354">
        <v>0</v>
      </c>
      <c r="BA354">
        <v>188.79</v>
      </c>
      <c r="BB354" s="1">
        <v>44961</v>
      </c>
    </row>
    <row r="355" spans="1:54" x14ac:dyDescent="0.25">
      <c r="A355">
        <v>2023</v>
      </c>
      <c r="B355">
        <v>160</v>
      </c>
      <c r="C355" s="1">
        <v>44961</v>
      </c>
      <c r="D355">
        <v>2023</v>
      </c>
      <c r="E355">
        <v>2022</v>
      </c>
      <c r="F355">
        <v>747</v>
      </c>
      <c r="H355" t="s">
        <v>568</v>
      </c>
      <c r="I355">
        <v>200</v>
      </c>
      <c r="J355">
        <v>0</v>
      </c>
      <c r="K355" t="s">
        <v>293</v>
      </c>
      <c r="S355" t="str">
        <f t="shared" si="35"/>
        <v>31</v>
      </c>
      <c r="T355" t="s">
        <v>122</v>
      </c>
      <c r="W355" t="s">
        <v>569</v>
      </c>
      <c r="Y355">
        <v>4443</v>
      </c>
      <c r="Z355" t="s">
        <v>641</v>
      </c>
      <c r="AB355" t="s">
        <v>642</v>
      </c>
      <c r="AC355" t="s">
        <v>116</v>
      </c>
      <c r="AD355" t="s">
        <v>643</v>
      </c>
      <c r="AF355">
        <v>2022</v>
      </c>
      <c r="AG355">
        <v>4113</v>
      </c>
      <c r="AH355" t="str">
        <f t="shared" si="36"/>
        <v>7</v>
      </c>
      <c r="AI355" t="s">
        <v>574</v>
      </c>
      <c r="AJ355" s="1">
        <v>44888</v>
      </c>
      <c r="AK355" t="s">
        <v>569</v>
      </c>
      <c r="AL355">
        <v>795</v>
      </c>
      <c r="AN355">
        <v>2023</v>
      </c>
      <c r="AO355">
        <v>135</v>
      </c>
      <c r="AP355">
        <v>795</v>
      </c>
      <c r="AQ355">
        <v>0</v>
      </c>
      <c r="AR355">
        <v>0</v>
      </c>
      <c r="BA355">
        <v>795</v>
      </c>
      <c r="BB355" s="1">
        <v>44961</v>
      </c>
    </row>
    <row r="356" spans="1:54" x14ac:dyDescent="0.25">
      <c r="A356">
        <v>2023</v>
      </c>
      <c r="B356">
        <v>161</v>
      </c>
      <c r="C356" s="1">
        <v>44961</v>
      </c>
      <c r="D356">
        <v>2023</v>
      </c>
      <c r="E356">
        <v>2022</v>
      </c>
      <c r="F356">
        <v>747</v>
      </c>
      <c r="H356" t="s">
        <v>568</v>
      </c>
      <c r="I356">
        <v>200</v>
      </c>
      <c r="J356">
        <v>0</v>
      </c>
      <c r="K356" t="s">
        <v>293</v>
      </c>
      <c r="S356" t="str">
        <f t="shared" si="35"/>
        <v>31</v>
      </c>
      <c r="T356" t="s">
        <v>122</v>
      </c>
      <c r="W356" t="s">
        <v>575</v>
      </c>
      <c r="Y356">
        <v>4443</v>
      </c>
      <c r="Z356" t="s">
        <v>641</v>
      </c>
      <c r="AB356" t="s">
        <v>642</v>
      </c>
      <c r="AC356" t="s">
        <v>116</v>
      </c>
      <c r="AD356" t="s">
        <v>643</v>
      </c>
      <c r="AF356">
        <v>2022</v>
      </c>
      <c r="AG356">
        <v>4114</v>
      </c>
      <c r="AH356" t="str">
        <f t="shared" si="36"/>
        <v>7</v>
      </c>
      <c r="AI356" t="s">
        <v>607</v>
      </c>
      <c r="AJ356" s="1">
        <v>44888</v>
      </c>
      <c r="AK356" t="s">
        <v>575</v>
      </c>
      <c r="AL356">
        <v>152.56</v>
      </c>
      <c r="AN356">
        <v>2023</v>
      </c>
      <c r="AO356">
        <v>136</v>
      </c>
      <c r="AP356">
        <v>152.56</v>
      </c>
      <c r="AQ356">
        <v>0</v>
      </c>
      <c r="AR356">
        <v>0</v>
      </c>
      <c r="BA356">
        <v>152.56</v>
      </c>
      <c r="BB356" s="1">
        <v>44961</v>
      </c>
    </row>
    <row r="357" spans="1:54" x14ac:dyDescent="0.25">
      <c r="A357">
        <v>2023</v>
      </c>
      <c r="B357">
        <v>162</v>
      </c>
      <c r="C357" s="1">
        <v>44961</v>
      </c>
      <c r="D357">
        <v>2023</v>
      </c>
      <c r="E357">
        <v>2022</v>
      </c>
      <c r="F357">
        <v>747</v>
      </c>
      <c r="H357" t="s">
        <v>568</v>
      </c>
      <c r="I357">
        <v>200</v>
      </c>
      <c r="J357">
        <v>0</v>
      </c>
      <c r="K357" t="s">
        <v>293</v>
      </c>
      <c r="S357" t="str">
        <f t="shared" si="35"/>
        <v>31</v>
      </c>
      <c r="T357" t="s">
        <v>122</v>
      </c>
      <c r="W357" t="s">
        <v>569</v>
      </c>
      <c r="Y357">
        <v>4444</v>
      </c>
      <c r="Z357" t="s">
        <v>644</v>
      </c>
      <c r="AA357" t="s">
        <v>645</v>
      </c>
      <c r="AB357" t="s">
        <v>646</v>
      </c>
      <c r="AC357" t="s">
        <v>116</v>
      </c>
      <c r="AD357" t="s">
        <v>647</v>
      </c>
      <c r="AF357">
        <v>2022</v>
      </c>
      <c r="AG357">
        <v>4115</v>
      </c>
      <c r="AH357" t="str">
        <f t="shared" si="36"/>
        <v>7</v>
      </c>
      <c r="AI357" t="s">
        <v>574</v>
      </c>
      <c r="AJ357" s="1">
        <v>44846</v>
      </c>
      <c r="AK357" t="s">
        <v>569</v>
      </c>
      <c r="AL357" s="2">
        <v>2646</v>
      </c>
      <c r="AN357">
        <v>2023</v>
      </c>
      <c r="AO357">
        <v>137</v>
      </c>
      <c r="AP357" s="2">
        <v>2646</v>
      </c>
      <c r="AQ357">
        <v>0</v>
      </c>
      <c r="AR357">
        <v>0</v>
      </c>
      <c r="BA357">
        <v>2646</v>
      </c>
      <c r="BB357" s="1">
        <v>44961</v>
      </c>
    </row>
    <row r="358" spans="1:54" x14ac:dyDescent="0.25">
      <c r="A358">
        <v>2023</v>
      </c>
      <c r="B358">
        <v>163</v>
      </c>
      <c r="C358" s="1">
        <v>44961</v>
      </c>
      <c r="D358">
        <v>2023</v>
      </c>
      <c r="E358">
        <v>2022</v>
      </c>
      <c r="F358">
        <v>747</v>
      </c>
      <c r="H358" t="s">
        <v>568</v>
      </c>
      <c r="I358">
        <v>200</v>
      </c>
      <c r="J358">
        <v>0</v>
      </c>
      <c r="K358" t="s">
        <v>293</v>
      </c>
      <c r="S358" t="str">
        <f t="shared" si="35"/>
        <v>31</v>
      </c>
      <c r="T358" t="s">
        <v>122</v>
      </c>
      <c r="W358" t="s">
        <v>575</v>
      </c>
      <c r="Y358">
        <v>4444</v>
      </c>
      <c r="Z358" t="s">
        <v>644</v>
      </c>
      <c r="AA358" t="s">
        <v>645</v>
      </c>
      <c r="AB358" t="s">
        <v>646</v>
      </c>
      <c r="AC358" t="s">
        <v>116</v>
      </c>
      <c r="AD358" t="s">
        <v>647</v>
      </c>
      <c r="AF358">
        <v>2022</v>
      </c>
      <c r="AG358">
        <v>4116</v>
      </c>
      <c r="AH358" t="str">
        <f t="shared" si="36"/>
        <v>7</v>
      </c>
      <c r="AI358" t="s">
        <v>607</v>
      </c>
      <c r="AJ358" s="1">
        <v>44846</v>
      </c>
      <c r="AK358" t="s">
        <v>575</v>
      </c>
      <c r="AL358">
        <v>289.95</v>
      </c>
      <c r="AN358">
        <v>2023</v>
      </c>
      <c r="AO358">
        <v>138</v>
      </c>
      <c r="AP358">
        <v>289.95</v>
      </c>
      <c r="AQ358">
        <v>0</v>
      </c>
      <c r="AR358">
        <v>0</v>
      </c>
      <c r="BA358">
        <v>289.95</v>
      </c>
      <c r="BB358" s="1">
        <v>44961</v>
      </c>
    </row>
    <row r="359" spans="1:54" x14ac:dyDescent="0.25">
      <c r="A359">
        <v>2023</v>
      </c>
      <c r="B359">
        <v>164</v>
      </c>
      <c r="C359" s="1">
        <v>44961</v>
      </c>
      <c r="D359">
        <v>2023</v>
      </c>
      <c r="E359">
        <v>2022</v>
      </c>
      <c r="F359">
        <v>747</v>
      </c>
      <c r="H359" t="s">
        <v>568</v>
      </c>
      <c r="I359">
        <v>200</v>
      </c>
      <c r="J359">
        <v>0</v>
      </c>
      <c r="K359" t="s">
        <v>293</v>
      </c>
      <c r="S359" t="str">
        <f t="shared" si="35"/>
        <v>31</v>
      </c>
      <c r="T359" t="s">
        <v>122</v>
      </c>
      <c r="W359" t="s">
        <v>569</v>
      </c>
      <c r="Y359">
        <v>4445</v>
      </c>
      <c r="Z359" t="s">
        <v>648</v>
      </c>
      <c r="AA359" t="s">
        <v>649</v>
      </c>
      <c r="AB359" t="s">
        <v>650</v>
      </c>
      <c r="AC359" t="s">
        <v>116</v>
      </c>
      <c r="AD359" t="s">
        <v>651</v>
      </c>
      <c r="AF359">
        <v>2022</v>
      </c>
      <c r="AG359">
        <v>4118</v>
      </c>
      <c r="AH359" t="str">
        <f t="shared" si="36"/>
        <v>7</v>
      </c>
      <c r="AI359" t="s">
        <v>574</v>
      </c>
      <c r="AJ359" s="1">
        <v>44847</v>
      </c>
      <c r="AK359" t="s">
        <v>569</v>
      </c>
      <c r="AL359">
        <v>969.8</v>
      </c>
      <c r="AN359">
        <v>2023</v>
      </c>
      <c r="AO359">
        <v>139</v>
      </c>
      <c r="AP359">
        <v>969.8</v>
      </c>
      <c r="AQ359">
        <v>0</v>
      </c>
      <c r="AR359">
        <v>0</v>
      </c>
      <c r="BA359">
        <v>969.8</v>
      </c>
      <c r="BB359" s="1">
        <v>44961</v>
      </c>
    </row>
    <row r="360" spans="1:54" x14ac:dyDescent="0.25">
      <c r="A360">
        <v>2023</v>
      </c>
      <c r="B360">
        <v>165</v>
      </c>
      <c r="C360" s="1">
        <v>44961</v>
      </c>
      <c r="D360">
        <v>2023</v>
      </c>
      <c r="E360">
        <v>2022</v>
      </c>
      <c r="F360">
        <v>747</v>
      </c>
      <c r="H360" t="s">
        <v>568</v>
      </c>
      <c r="I360">
        <v>200</v>
      </c>
      <c r="J360">
        <v>0</v>
      </c>
      <c r="K360" t="s">
        <v>293</v>
      </c>
      <c r="S360" t="str">
        <f t="shared" si="35"/>
        <v>31</v>
      </c>
      <c r="T360" t="s">
        <v>122</v>
      </c>
      <c r="W360" t="s">
        <v>575</v>
      </c>
      <c r="Y360">
        <v>4445</v>
      </c>
      <c r="Z360" t="s">
        <v>648</v>
      </c>
      <c r="AA360" t="s">
        <v>649</v>
      </c>
      <c r="AB360" t="s">
        <v>650</v>
      </c>
      <c r="AC360" t="s">
        <v>116</v>
      </c>
      <c r="AD360" t="s">
        <v>651</v>
      </c>
      <c r="AF360">
        <v>2022</v>
      </c>
      <c r="AG360">
        <v>4119</v>
      </c>
      <c r="AH360" t="str">
        <f t="shared" si="36"/>
        <v>7</v>
      </c>
      <c r="AI360" t="s">
        <v>607</v>
      </c>
      <c r="AJ360" s="1">
        <v>44847</v>
      </c>
      <c r="AK360" t="s">
        <v>575</v>
      </c>
      <c r="AL360" s="2">
        <v>2218</v>
      </c>
      <c r="AN360">
        <v>2023</v>
      </c>
      <c r="AO360">
        <v>140</v>
      </c>
      <c r="AP360" s="2">
        <v>2218</v>
      </c>
      <c r="AQ360">
        <v>0</v>
      </c>
      <c r="AR360">
        <v>0</v>
      </c>
      <c r="BA360">
        <v>2218</v>
      </c>
      <c r="BB360" s="1">
        <v>44961</v>
      </c>
    </row>
    <row r="361" spans="1:54" x14ac:dyDescent="0.25">
      <c r="A361">
        <v>2023</v>
      </c>
      <c r="B361">
        <v>166</v>
      </c>
      <c r="C361" s="1">
        <v>44961</v>
      </c>
      <c r="D361">
        <v>2023</v>
      </c>
      <c r="E361">
        <v>2022</v>
      </c>
      <c r="F361">
        <v>747</v>
      </c>
      <c r="H361" t="s">
        <v>568</v>
      </c>
      <c r="I361">
        <v>200</v>
      </c>
      <c r="J361">
        <v>0</v>
      </c>
      <c r="K361" t="s">
        <v>293</v>
      </c>
      <c r="S361" t="str">
        <f t="shared" si="35"/>
        <v>31</v>
      </c>
      <c r="T361" t="s">
        <v>122</v>
      </c>
      <c r="W361" t="s">
        <v>569</v>
      </c>
      <c r="Y361">
        <v>3194</v>
      </c>
      <c r="Z361" t="s">
        <v>652</v>
      </c>
      <c r="AB361" t="str">
        <f>"02290510276"</f>
        <v>02290510276</v>
      </c>
      <c r="AC361" t="s">
        <v>116</v>
      </c>
      <c r="AD361" t="s">
        <v>653</v>
      </c>
      <c r="AF361">
        <v>2022</v>
      </c>
      <c r="AG361">
        <v>4117</v>
      </c>
      <c r="AH361" t="str">
        <f t="shared" si="36"/>
        <v>7</v>
      </c>
      <c r="AI361" t="s">
        <v>574</v>
      </c>
      <c r="AJ361" s="1">
        <v>44852</v>
      </c>
      <c r="AK361" t="s">
        <v>569</v>
      </c>
      <c r="AL361" s="2">
        <v>2230.8000000000002</v>
      </c>
      <c r="AN361">
        <v>2023</v>
      </c>
      <c r="AO361">
        <v>141</v>
      </c>
      <c r="AP361" s="2">
        <v>2230.8000000000002</v>
      </c>
      <c r="AQ361">
        <v>0</v>
      </c>
      <c r="AR361">
        <v>0</v>
      </c>
      <c r="BA361">
        <v>2230.8000000000002</v>
      </c>
      <c r="BB361" s="1">
        <v>44961</v>
      </c>
    </row>
    <row r="362" spans="1:54" x14ac:dyDescent="0.25">
      <c r="A362">
        <v>2023</v>
      </c>
      <c r="B362">
        <v>167</v>
      </c>
      <c r="C362" s="1">
        <v>44961</v>
      </c>
      <c r="D362">
        <v>2023</v>
      </c>
      <c r="E362">
        <v>2022</v>
      </c>
      <c r="F362">
        <v>747</v>
      </c>
      <c r="H362" t="s">
        <v>568</v>
      </c>
      <c r="I362">
        <v>200</v>
      </c>
      <c r="J362">
        <v>0</v>
      </c>
      <c r="K362" t="s">
        <v>293</v>
      </c>
      <c r="S362" t="str">
        <f t="shared" si="35"/>
        <v>31</v>
      </c>
      <c r="T362" t="s">
        <v>122</v>
      </c>
      <c r="W362" t="s">
        <v>569</v>
      </c>
      <c r="Y362">
        <v>4446</v>
      </c>
      <c r="Z362" t="s">
        <v>614</v>
      </c>
      <c r="AA362" t="s">
        <v>654</v>
      </c>
      <c r="AB362" t="s">
        <v>655</v>
      </c>
      <c r="AC362" t="s">
        <v>116</v>
      </c>
      <c r="AD362" t="s">
        <v>656</v>
      </c>
      <c r="AF362">
        <v>2022</v>
      </c>
      <c r="AG362">
        <v>4120</v>
      </c>
      <c r="AH362" t="str">
        <f t="shared" si="36"/>
        <v>7</v>
      </c>
      <c r="AI362" t="s">
        <v>574</v>
      </c>
      <c r="AJ362" s="1">
        <v>44850</v>
      </c>
      <c r="AK362" t="s">
        <v>569</v>
      </c>
      <c r="AL362">
        <v>398.4</v>
      </c>
      <c r="AN362">
        <v>2023</v>
      </c>
      <c r="AO362">
        <v>143</v>
      </c>
      <c r="AP362">
        <v>398.4</v>
      </c>
      <c r="AQ362">
        <v>0</v>
      </c>
      <c r="AR362">
        <v>0</v>
      </c>
      <c r="BA362">
        <v>398.4</v>
      </c>
      <c r="BB362" s="1">
        <v>44961</v>
      </c>
    </row>
    <row r="363" spans="1:54" x14ac:dyDescent="0.25">
      <c r="A363">
        <v>2023</v>
      </c>
      <c r="B363">
        <v>168</v>
      </c>
      <c r="C363" s="1">
        <v>44961</v>
      </c>
      <c r="D363">
        <v>2023</v>
      </c>
      <c r="E363">
        <v>2022</v>
      </c>
      <c r="F363">
        <v>747</v>
      </c>
      <c r="H363" t="s">
        <v>568</v>
      </c>
      <c r="I363">
        <v>200</v>
      </c>
      <c r="J363">
        <v>0</v>
      </c>
      <c r="K363" t="s">
        <v>293</v>
      </c>
      <c r="S363" t="str">
        <f t="shared" si="35"/>
        <v>31</v>
      </c>
      <c r="T363" t="s">
        <v>122</v>
      </c>
      <c r="W363" t="s">
        <v>575</v>
      </c>
      <c r="Y363">
        <v>4446</v>
      </c>
      <c r="Z363" t="s">
        <v>614</v>
      </c>
      <c r="AA363" t="s">
        <v>654</v>
      </c>
      <c r="AB363" t="s">
        <v>655</v>
      </c>
      <c r="AC363" t="s">
        <v>116</v>
      </c>
      <c r="AD363" t="s">
        <v>656</v>
      </c>
      <c r="AF363">
        <v>2022</v>
      </c>
      <c r="AG363">
        <v>4121</v>
      </c>
      <c r="AH363" t="str">
        <f t="shared" si="36"/>
        <v>7</v>
      </c>
      <c r="AI363" t="s">
        <v>607</v>
      </c>
      <c r="AJ363" s="1">
        <v>44850</v>
      </c>
      <c r="AK363" t="s">
        <v>575</v>
      </c>
      <c r="AL363" s="2">
        <v>1519.51</v>
      </c>
      <c r="AN363">
        <v>2023</v>
      </c>
      <c r="AO363">
        <v>142</v>
      </c>
      <c r="AP363" s="2">
        <v>1519.51</v>
      </c>
      <c r="AQ363">
        <v>0</v>
      </c>
      <c r="AR363">
        <v>0</v>
      </c>
      <c r="BA363">
        <v>1519.51</v>
      </c>
      <c r="BB363" s="1">
        <v>44961</v>
      </c>
    </row>
    <row r="364" spans="1:54" x14ac:dyDescent="0.25">
      <c r="A364">
        <v>2023</v>
      </c>
      <c r="B364">
        <v>169</v>
      </c>
      <c r="C364" s="1">
        <v>44963</v>
      </c>
      <c r="D364">
        <v>2023</v>
      </c>
      <c r="E364">
        <v>2021</v>
      </c>
      <c r="F364">
        <v>616</v>
      </c>
      <c r="H364" t="s">
        <v>657</v>
      </c>
      <c r="I364">
        <v>130</v>
      </c>
      <c r="J364">
        <v>0</v>
      </c>
      <c r="K364" t="s">
        <v>128</v>
      </c>
      <c r="R364" t="s">
        <v>658</v>
      </c>
      <c r="S364" t="str">
        <f>"30"</f>
        <v>30</v>
      </c>
      <c r="T364" t="s">
        <v>78</v>
      </c>
      <c r="W364" t="s">
        <v>659</v>
      </c>
      <c r="Y364">
        <v>127</v>
      </c>
      <c r="Z364" t="s">
        <v>660</v>
      </c>
      <c r="AB364" t="str">
        <f>"00488410010"</f>
        <v>00488410010</v>
      </c>
      <c r="AC364" t="s">
        <v>116</v>
      </c>
      <c r="AD364" t="s">
        <v>661</v>
      </c>
      <c r="AF364">
        <v>2022</v>
      </c>
      <c r="AG364">
        <v>3815</v>
      </c>
      <c r="AH364" t="str">
        <f>"1"</f>
        <v>1</v>
      </c>
      <c r="AI364" t="s">
        <v>662</v>
      </c>
      <c r="AJ364" s="1">
        <v>44907</v>
      </c>
      <c r="AK364" t="s">
        <v>659</v>
      </c>
      <c r="AL364">
        <v>308.83</v>
      </c>
      <c r="AM364" t="str">
        <f>"8635604244"</f>
        <v>8635604244</v>
      </c>
      <c r="AN364">
        <v>2023</v>
      </c>
      <c r="AO364">
        <v>151</v>
      </c>
      <c r="AP364">
        <v>308.83</v>
      </c>
      <c r="AQ364">
        <v>0</v>
      </c>
      <c r="AR364">
        <v>55.41</v>
      </c>
      <c r="AS364" t="s">
        <v>177</v>
      </c>
      <c r="AT364">
        <v>251.88</v>
      </c>
      <c r="AU364">
        <v>55.41</v>
      </c>
      <c r="AV364">
        <v>2023</v>
      </c>
      <c r="AW364">
        <v>63</v>
      </c>
      <c r="AX364">
        <v>670</v>
      </c>
      <c r="AY364">
        <v>0</v>
      </c>
      <c r="AZ364" t="s">
        <v>663</v>
      </c>
      <c r="BA364">
        <v>308.83</v>
      </c>
      <c r="BB364" s="1">
        <v>44963</v>
      </c>
    </row>
    <row r="365" spans="1:54" x14ac:dyDescent="0.25">
      <c r="A365">
        <v>2023</v>
      </c>
      <c r="B365">
        <v>170</v>
      </c>
      <c r="C365" s="1">
        <v>44963</v>
      </c>
      <c r="D365">
        <v>2023</v>
      </c>
      <c r="E365">
        <v>2022</v>
      </c>
      <c r="F365">
        <v>714</v>
      </c>
      <c r="H365" t="s">
        <v>664</v>
      </c>
      <c r="I365">
        <v>149</v>
      </c>
      <c r="J365">
        <v>0</v>
      </c>
      <c r="K365" t="s">
        <v>277</v>
      </c>
      <c r="R365" t="s">
        <v>665</v>
      </c>
      <c r="S365" t="str">
        <f>"30"</f>
        <v>30</v>
      </c>
      <c r="T365" t="s">
        <v>78</v>
      </c>
      <c r="W365" t="s">
        <v>666</v>
      </c>
      <c r="Y365">
        <v>127</v>
      </c>
      <c r="Z365" t="s">
        <v>660</v>
      </c>
      <c r="AB365" t="str">
        <f>"00488410010"</f>
        <v>00488410010</v>
      </c>
      <c r="AC365" t="s">
        <v>116</v>
      </c>
      <c r="AD365" t="s">
        <v>661</v>
      </c>
      <c r="AF365">
        <v>2022</v>
      </c>
      <c r="AG365">
        <v>3816</v>
      </c>
      <c r="AH365" t="str">
        <f>"1"</f>
        <v>1</v>
      </c>
      <c r="AI365" t="s">
        <v>667</v>
      </c>
      <c r="AJ365" s="1">
        <v>44907</v>
      </c>
      <c r="AK365" t="s">
        <v>668</v>
      </c>
      <c r="AL365" s="2">
        <v>5195.7299999999996</v>
      </c>
      <c r="AM365" t="str">
        <f>"8635648375"</f>
        <v>8635648375</v>
      </c>
      <c r="AN365">
        <v>2023</v>
      </c>
      <c r="AO365">
        <v>152</v>
      </c>
      <c r="AP365" s="2">
        <v>5195.7299999999996</v>
      </c>
      <c r="AQ365">
        <v>0</v>
      </c>
      <c r="AR365">
        <v>899.69</v>
      </c>
      <c r="AS365" t="s">
        <v>177</v>
      </c>
      <c r="AT365">
        <v>4089.48</v>
      </c>
      <c r="AU365">
        <v>899.69</v>
      </c>
      <c r="AV365">
        <v>2023</v>
      </c>
      <c r="AW365">
        <v>64</v>
      </c>
      <c r="AX365">
        <v>670</v>
      </c>
      <c r="AY365">
        <v>0</v>
      </c>
      <c r="AZ365" t="s">
        <v>669</v>
      </c>
      <c r="BA365">
        <v>5195.7299999999996</v>
      </c>
      <c r="BB365" s="1">
        <v>44963</v>
      </c>
    </row>
    <row r="366" spans="1:54" x14ac:dyDescent="0.25">
      <c r="A366">
        <v>2023</v>
      </c>
      <c r="B366">
        <v>171</v>
      </c>
      <c r="C366" s="1">
        <v>44965</v>
      </c>
      <c r="D366">
        <v>2023</v>
      </c>
      <c r="E366">
        <v>2022</v>
      </c>
      <c r="F366">
        <v>386</v>
      </c>
      <c r="H366" t="s">
        <v>670</v>
      </c>
      <c r="I366">
        <v>440</v>
      </c>
      <c r="J366">
        <v>0</v>
      </c>
      <c r="K366" t="s">
        <v>113</v>
      </c>
      <c r="W366" t="s">
        <v>671</v>
      </c>
      <c r="Y366">
        <v>136</v>
      </c>
      <c r="Z366" t="s">
        <v>672</v>
      </c>
      <c r="AC366" t="s">
        <v>116</v>
      </c>
      <c r="AD366" t="s">
        <v>673</v>
      </c>
      <c r="AP366">
        <v>566</v>
      </c>
      <c r="AQ366">
        <v>0</v>
      </c>
      <c r="AR366">
        <v>0</v>
      </c>
      <c r="BA366">
        <v>566</v>
      </c>
      <c r="BB366" s="1">
        <v>44965</v>
      </c>
    </row>
    <row r="367" spans="1:54" x14ac:dyDescent="0.25">
      <c r="A367">
        <v>2023</v>
      </c>
      <c r="B367">
        <v>172</v>
      </c>
      <c r="C367" s="1">
        <v>44965</v>
      </c>
      <c r="D367">
        <v>2023</v>
      </c>
      <c r="E367">
        <v>2022</v>
      </c>
      <c r="F367">
        <v>386</v>
      </c>
      <c r="H367" t="s">
        <v>670</v>
      </c>
      <c r="I367">
        <v>440</v>
      </c>
      <c r="J367">
        <v>0</v>
      </c>
      <c r="K367" t="s">
        <v>113</v>
      </c>
      <c r="W367" t="s">
        <v>671</v>
      </c>
      <c r="Y367">
        <v>137</v>
      </c>
      <c r="Z367" t="s">
        <v>674</v>
      </c>
      <c r="AC367" t="s">
        <v>116</v>
      </c>
      <c r="AD367" t="s">
        <v>675</v>
      </c>
      <c r="AP367" s="2">
        <v>1312.2</v>
      </c>
      <c r="AQ367">
        <v>0</v>
      </c>
      <c r="AR367">
        <v>0</v>
      </c>
      <c r="BA367">
        <v>1312.2</v>
      </c>
      <c r="BB367" s="1">
        <v>44965</v>
      </c>
    </row>
    <row r="368" spans="1:54" x14ac:dyDescent="0.25">
      <c r="A368">
        <v>2023</v>
      </c>
      <c r="B368">
        <v>173</v>
      </c>
      <c r="C368" s="1">
        <v>44965</v>
      </c>
      <c r="D368">
        <v>2023</v>
      </c>
      <c r="E368">
        <v>2022</v>
      </c>
      <c r="F368">
        <v>386</v>
      </c>
      <c r="H368" t="s">
        <v>670</v>
      </c>
      <c r="I368">
        <v>440</v>
      </c>
      <c r="J368">
        <v>0</v>
      </c>
      <c r="K368" t="s">
        <v>113</v>
      </c>
      <c r="W368" t="s">
        <v>671</v>
      </c>
      <c r="Y368">
        <v>138</v>
      </c>
      <c r="Z368" t="s">
        <v>676</v>
      </c>
      <c r="AC368" t="s">
        <v>116</v>
      </c>
      <c r="AD368" t="s">
        <v>677</v>
      </c>
      <c r="AP368" s="2">
        <v>1723.4</v>
      </c>
      <c r="AQ368">
        <v>0</v>
      </c>
      <c r="AR368">
        <v>0</v>
      </c>
      <c r="BA368">
        <v>1723.4</v>
      </c>
      <c r="BB368" s="1">
        <v>44965</v>
      </c>
    </row>
    <row r="369" spans="1:54" x14ac:dyDescent="0.25">
      <c r="A369">
        <v>2023</v>
      </c>
      <c r="B369">
        <v>174</v>
      </c>
      <c r="C369" s="1">
        <v>44965</v>
      </c>
      <c r="D369">
        <v>2023</v>
      </c>
      <c r="E369">
        <v>2022</v>
      </c>
      <c r="F369">
        <v>386</v>
      </c>
      <c r="H369" t="s">
        <v>670</v>
      </c>
      <c r="I369">
        <v>440</v>
      </c>
      <c r="J369">
        <v>0</v>
      </c>
      <c r="K369" t="s">
        <v>113</v>
      </c>
      <c r="S369" t="str">
        <f>"31"</f>
        <v>31</v>
      </c>
      <c r="T369" t="s">
        <v>122</v>
      </c>
      <c r="W369" t="s">
        <v>671</v>
      </c>
      <c r="Y369">
        <v>139</v>
      </c>
      <c r="Z369" t="s">
        <v>678</v>
      </c>
      <c r="AC369" t="s">
        <v>116</v>
      </c>
      <c r="AD369" t="s">
        <v>679</v>
      </c>
      <c r="AP369">
        <v>240</v>
      </c>
      <c r="AQ369">
        <v>0</v>
      </c>
      <c r="AR369">
        <v>0</v>
      </c>
      <c r="BA369">
        <v>240</v>
      </c>
      <c r="BB369" s="1">
        <v>44965</v>
      </c>
    </row>
    <row r="370" spans="1:54" x14ac:dyDescent="0.25">
      <c r="A370">
        <v>2023</v>
      </c>
      <c r="B370">
        <v>175</v>
      </c>
      <c r="C370" s="1">
        <v>44965</v>
      </c>
      <c r="D370">
        <v>2023</v>
      </c>
      <c r="E370">
        <v>2022</v>
      </c>
      <c r="F370">
        <v>26</v>
      </c>
      <c r="H370" t="s">
        <v>89</v>
      </c>
      <c r="I370">
        <v>116</v>
      </c>
      <c r="J370">
        <v>0</v>
      </c>
      <c r="K370" t="s">
        <v>90</v>
      </c>
      <c r="S370" t="str">
        <f>"30"</f>
        <v>30</v>
      </c>
      <c r="T370" t="s">
        <v>78</v>
      </c>
      <c r="W370" t="s">
        <v>680</v>
      </c>
      <c r="Y370">
        <v>186</v>
      </c>
      <c r="Z370" t="s">
        <v>106</v>
      </c>
      <c r="AB370" t="str">
        <f>"02070800582"</f>
        <v>02070800582</v>
      </c>
      <c r="AC370" t="s">
        <v>103</v>
      </c>
      <c r="AP370" s="2">
        <v>3155.07</v>
      </c>
      <c r="AQ370">
        <v>0</v>
      </c>
      <c r="AR370">
        <v>0</v>
      </c>
      <c r="BA370">
        <v>3155.07</v>
      </c>
      <c r="BB370" s="1">
        <v>44965</v>
      </c>
    </row>
    <row r="371" spans="1:54" x14ac:dyDescent="0.25">
      <c r="A371">
        <v>2023</v>
      </c>
      <c r="B371">
        <v>176</v>
      </c>
      <c r="C371" s="1">
        <v>44966</v>
      </c>
      <c r="D371">
        <v>2023</v>
      </c>
      <c r="E371">
        <v>2022</v>
      </c>
      <c r="F371">
        <v>695</v>
      </c>
      <c r="H371" t="s">
        <v>681</v>
      </c>
      <c r="I371">
        <v>120</v>
      </c>
      <c r="J371">
        <v>0</v>
      </c>
      <c r="K371" t="s">
        <v>120</v>
      </c>
      <c r="R371" t="s">
        <v>682</v>
      </c>
      <c r="S371" t="str">
        <f t="shared" ref="S371:S381" si="37">"31"</f>
        <v>31</v>
      </c>
      <c r="T371" t="s">
        <v>122</v>
      </c>
      <c r="W371" t="s">
        <v>683</v>
      </c>
      <c r="Y371">
        <v>22</v>
      </c>
      <c r="Z371" t="s">
        <v>684</v>
      </c>
      <c r="AB371" t="str">
        <f>"01596440279"</f>
        <v>01596440279</v>
      </c>
      <c r="AC371" t="s">
        <v>116</v>
      </c>
      <c r="AD371" t="s">
        <v>685</v>
      </c>
      <c r="AF371">
        <v>2022</v>
      </c>
      <c r="AG371">
        <v>3986</v>
      </c>
      <c r="AH371" t="str">
        <f t="shared" ref="AH371:AH383" si="38">"1"</f>
        <v>1</v>
      </c>
      <c r="AI371" t="s">
        <v>686</v>
      </c>
      <c r="AJ371" s="1">
        <v>44910</v>
      </c>
      <c r="AK371" t="s">
        <v>687</v>
      </c>
      <c r="AL371">
        <v>615.16</v>
      </c>
      <c r="AM371" t="str">
        <f>"8670420578"</f>
        <v>8670420578</v>
      </c>
      <c r="AN371">
        <v>2023</v>
      </c>
      <c r="AO371">
        <v>82</v>
      </c>
      <c r="AP371">
        <v>395.58</v>
      </c>
      <c r="AQ371">
        <v>0</v>
      </c>
      <c r="AR371">
        <v>110.93</v>
      </c>
      <c r="AS371" t="s">
        <v>177</v>
      </c>
      <c r="AT371">
        <v>504.23</v>
      </c>
      <c r="AU371">
        <v>110.93</v>
      </c>
      <c r="AV371">
        <v>2023</v>
      </c>
      <c r="AW371">
        <v>65</v>
      </c>
      <c r="AX371">
        <v>670</v>
      </c>
      <c r="AY371">
        <v>0</v>
      </c>
      <c r="AZ371" t="s">
        <v>688</v>
      </c>
      <c r="BA371">
        <v>395.58</v>
      </c>
      <c r="BB371" s="1">
        <v>44966</v>
      </c>
    </row>
    <row r="372" spans="1:54" x14ac:dyDescent="0.25">
      <c r="A372">
        <v>2023</v>
      </c>
      <c r="B372">
        <v>177</v>
      </c>
      <c r="C372" s="1">
        <v>44966</v>
      </c>
      <c r="D372">
        <v>2023</v>
      </c>
      <c r="E372">
        <v>2022</v>
      </c>
      <c r="F372">
        <v>627</v>
      </c>
      <c r="H372" t="s">
        <v>689</v>
      </c>
      <c r="I372">
        <v>120</v>
      </c>
      <c r="J372">
        <v>0</v>
      </c>
      <c r="K372" t="s">
        <v>120</v>
      </c>
      <c r="R372" t="s">
        <v>690</v>
      </c>
      <c r="S372" t="str">
        <f t="shared" si="37"/>
        <v>31</v>
      </c>
      <c r="T372" t="s">
        <v>122</v>
      </c>
      <c r="W372" t="s">
        <v>691</v>
      </c>
      <c r="Y372">
        <v>22</v>
      </c>
      <c r="Z372" t="s">
        <v>684</v>
      </c>
      <c r="AB372" t="str">
        <f>"01596440279"</f>
        <v>01596440279</v>
      </c>
      <c r="AC372" t="s">
        <v>116</v>
      </c>
      <c r="AD372" t="s">
        <v>685</v>
      </c>
      <c r="AF372">
        <v>2022</v>
      </c>
      <c r="AG372">
        <v>3986</v>
      </c>
      <c r="AH372" t="str">
        <f t="shared" si="38"/>
        <v>1</v>
      </c>
      <c r="AI372" t="s">
        <v>686</v>
      </c>
      <c r="AJ372" s="1">
        <v>44910</v>
      </c>
      <c r="AK372" t="s">
        <v>687</v>
      </c>
      <c r="AL372">
        <v>615.16</v>
      </c>
      <c r="AM372" t="str">
        <f>"8670420578"</f>
        <v>8670420578</v>
      </c>
      <c r="AN372">
        <v>2023</v>
      </c>
      <c r="AO372">
        <v>81</v>
      </c>
      <c r="AP372">
        <v>219.58</v>
      </c>
      <c r="AQ372">
        <v>0</v>
      </c>
      <c r="AR372">
        <v>0</v>
      </c>
      <c r="BA372">
        <v>219.58</v>
      </c>
      <c r="BB372" s="1">
        <v>44966</v>
      </c>
    </row>
    <row r="373" spans="1:54" x14ac:dyDescent="0.25">
      <c r="A373">
        <v>2023</v>
      </c>
      <c r="B373">
        <v>178</v>
      </c>
      <c r="C373" s="1">
        <v>44966</v>
      </c>
      <c r="D373">
        <v>2023</v>
      </c>
      <c r="E373">
        <v>2022</v>
      </c>
      <c r="F373">
        <v>400</v>
      </c>
      <c r="H373" t="s">
        <v>692</v>
      </c>
      <c r="I373">
        <v>120</v>
      </c>
      <c r="J373">
        <v>0</v>
      </c>
      <c r="K373" t="s">
        <v>120</v>
      </c>
      <c r="R373" t="s">
        <v>693</v>
      </c>
      <c r="S373" t="str">
        <f t="shared" si="37"/>
        <v>31</v>
      </c>
      <c r="T373" t="s">
        <v>122</v>
      </c>
      <c r="W373" t="s">
        <v>694</v>
      </c>
      <c r="Y373">
        <v>22</v>
      </c>
      <c r="Z373" t="s">
        <v>684</v>
      </c>
      <c r="AB373" t="str">
        <f>"01596440279"</f>
        <v>01596440279</v>
      </c>
      <c r="AC373" t="s">
        <v>116</v>
      </c>
      <c r="AD373" t="s">
        <v>685</v>
      </c>
      <c r="AF373">
        <v>2022</v>
      </c>
      <c r="AG373">
        <v>4006</v>
      </c>
      <c r="AH373" t="str">
        <f t="shared" si="38"/>
        <v>1</v>
      </c>
      <c r="AI373" t="s">
        <v>695</v>
      </c>
      <c r="AJ373" s="1">
        <v>44918</v>
      </c>
      <c r="AK373" t="s">
        <v>694</v>
      </c>
      <c r="AL373" s="2">
        <v>1751.63</v>
      </c>
      <c r="AM373" t="str">
        <f>"8708783638"</f>
        <v>8708783638</v>
      </c>
      <c r="AN373">
        <v>2023</v>
      </c>
      <c r="AO373">
        <v>83</v>
      </c>
      <c r="AP373" s="2">
        <v>1751.63</v>
      </c>
      <c r="AQ373">
        <v>0</v>
      </c>
      <c r="AR373">
        <v>315.87</v>
      </c>
      <c r="AS373" t="s">
        <v>177</v>
      </c>
      <c r="AT373">
        <v>1435.76</v>
      </c>
      <c r="AU373">
        <v>315.87</v>
      </c>
      <c r="AV373">
        <v>2023</v>
      </c>
      <c r="AW373">
        <v>66</v>
      </c>
      <c r="AX373">
        <v>670</v>
      </c>
      <c r="AY373">
        <v>0</v>
      </c>
      <c r="AZ373" t="s">
        <v>696</v>
      </c>
      <c r="BA373">
        <v>1751.63</v>
      </c>
      <c r="BB373" s="1">
        <v>44966</v>
      </c>
    </row>
    <row r="374" spans="1:54" x14ac:dyDescent="0.25">
      <c r="A374">
        <v>2023</v>
      </c>
      <c r="B374">
        <v>179</v>
      </c>
      <c r="C374" s="1">
        <v>44966</v>
      </c>
      <c r="D374">
        <v>2023</v>
      </c>
      <c r="E374">
        <v>2022</v>
      </c>
      <c r="F374">
        <v>695</v>
      </c>
      <c r="H374" t="s">
        <v>681</v>
      </c>
      <c r="I374">
        <v>120</v>
      </c>
      <c r="J374">
        <v>0</v>
      </c>
      <c r="K374" t="s">
        <v>120</v>
      </c>
      <c r="R374" t="s">
        <v>682</v>
      </c>
      <c r="S374" t="str">
        <f t="shared" si="37"/>
        <v>31</v>
      </c>
      <c r="T374" t="s">
        <v>122</v>
      </c>
      <c r="W374" t="s">
        <v>697</v>
      </c>
      <c r="Y374">
        <v>22</v>
      </c>
      <c r="Z374" t="s">
        <v>684</v>
      </c>
      <c r="AB374" t="str">
        <f>"01596440279"</f>
        <v>01596440279</v>
      </c>
      <c r="AC374" t="s">
        <v>116</v>
      </c>
      <c r="AD374" t="s">
        <v>685</v>
      </c>
      <c r="AF374">
        <v>2022</v>
      </c>
      <c r="AG374">
        <v>4007</v>
      </c>
      <c r="AH374" t="str">
        <f t="shared" si="38"/>
        <v>1</v>
      </c>
      <c r="AI374" t="s">
        <v>698</v>
      </c>
      <c r="AJ374" s="1">
        <v>44924</v>
      </c>
      <c r="AK374" t="s">
        <v>697</v>
      </c>
      <c r="AL374">
        <v>215.35</v>
      </c>
      <c r="AM374" t="str">
        <f>"8734926460"</f>
        <v>8734926460</v>
      </c>
      <c r="AN374">
        <v>2023</v>
      </c>
      <c r="AO374">
        <v>84</v>
      </c>
      <c r="AP374">
        <v>215.35</v>
      </c>
      <c r="AQ374">
        <v>0</v>
      </c>
      <c r="AR374">
        <v>108.57</v>
      </c>
      <c r="AS374" t="s">
        <v>177</v>
      </c>
      <c r="AT374">
        <v>176.52</v>
      </c>
      <c r="AU374">
        <v>38.83</v>
      </c>
      <c r="AV374">
        <v>2023</v>
      </c>
      <c r="AW374">
        <v>67</v>
      </c>
      <c r="AX374">
        <v>670</v>
      </c>
      <c r="AY374">
        <v>0</v>
      </c>
      <c r="AZ374" t="s">
        <v>699</v>
      </c>
      <c r="BA374">
        <v>215.35</v>
      </c>
      <c r="BB374" s="1">
        <v>44966</v>
      </c>
    </row>
    <row r="375" spans="1:54" x14ac:dyDescent="0.25">
      <c r="A375">
        <v>2023</v>
      </c>
      <c r="B375">
        <v>179</v>
      </c>
      <c r="C375" s="1">
        <v>44966</v>
      </c>
      <c r="D375">
        <v>2023</v>
      </c>
      <c r="E375">
        <v>2022</v>
      </c>
      <c r="F375">
        <v>695</v>
      </c>
      <c r="H375" t="s">
        <v>681</v>
      </c>
      <c r="I375">
        <v>120</v>
      </c>
      <c r="J375">
        <v>0</v>
      </c>
      <c r="K375" t="s">
        <v>120</v>
      </c>
      <c r="R375" t="s">
        <v>682</v>
      </c>
      <c r="S375" t="str">
        <f t="shared" si="37"/>
        <v>31</v>
      </c>
      <c r="T375" t="s">
        <v>122</v>
      </c>
      <c r="W375" t="s">
        <v>697</v>
      </c>
      <c r="Y375">
        <v>22</v>
      </c>
      <c r="Z375" t="s">
        <v>684</v>
      </c>
      <c r="AB375" t="str">
        <f>"01596440279"</f>
        <v>01596440279</v>
      </c>
      <c r="AC375" t="s">
        <v>116</v>
      </c>
      <c r="AD375" t="s">
        <v>685</v>
      </c>
      <c r="AF375">
        <v>2022</v>
      </c>
      <c r="AG375">
        <v>4008</v>
      </c>
      <c r="AH375" t="str">
        <f t="shared" si="38"/>
        <v>1</v>
      </c>
      <c r="AI375" t="s">
        <v>700</v>
      </c>
      <c r="AJ375" s="1">
        <v>44924</v>
      </c>
      <c r="AK375" t="s">
        <v>697</v>
      </c>
      <c r="AL375">
        <v>386.74</v>
      </c>
      <c r="AM375" t="str">
        <f>"8736973693"</f>
        <v>8736973693</v>
      </c>
      <c r="AN375">
        <v>2023</v>
      </c>
      <c r="AO375">
        <v>84</v>
      </c>
      <c r="AP375">
        <v>386.74</v>
      </c>
      <c r="AQ375">
        <v>0</v>
      </c>
      <c r="AR375">
        <v>108.57</v>
      </c>
      <c r="AS375" t="s">
        <v>177</v>
      </c>
      <c r="AT375">
        <v>317</v>
      </c>
      <c r="AU375">
        <v>69.739999999999995</v>
      </c>
      <c r="AV375">
        <v>2023</v>
      </c>
      <c r="AW375">
        <v>67</v>
      </c>
      <c r="AX375">
        <v>670</v>
      </c>
      <c r="AY375">
        <v>0</v>
      </c>
      <c r="AZ375" t="s">
        <v>699</v>
      </c>
      <c r="BA375">
        <v>386.74</v>
      </c>
      <c r="BB375" s="1">
        <v>44966</v>
      </c>
    </row>
    <row r="376" spans="1:54" x14ac:dyDescent="0.25">
      <c r="A376">
        <v>2023</v>
      </c>
      <c r="B376">
        <v>180</v>
      </c>
      <c r="C376" s="1">
        <v>44966</v>
      </c>
      <c r="D376">
        <v>2023</v>
      </c>
      <c r="E376">
        <v>2022</v>
      </c>
      <c r="F376">
        <v>117</v>
      </c>
      <c r="H376" t="s">
        <v>701</v>
      </c>
      <c r="I376">
        <v>151</v>
      </c>
      <c r="J376">
        <v>0</v>
      </c>
      <c r="K376" t="s">
        <v>509</v>
      </c>
      <c r="R376" t="s">
        <v>702</v>
      </c>
      <c r="S376" t="str">
        <f t="shared" si="37"/>
        <v>31</v>
      </c>
      <c r="T376" t="s">
        <v>122</v>
      </c>
      <c r="W376" t="s">
        <v>703</v>
      </c>
      <c r="Y376">
        <v>3696</v>
      </c>
      <c r="Z376" t="s">
        <v>704</v>
      </c>
      <c r="AB376" t="str">
        <f>"08083020019"</f>
        <v>08083020019</v>
      </c>
      <c r="AC376" t="s">
        <v>116</v>
      </c>
      <c r="AD376" t="s">
        <v>705</v>
      </c>
      <c r="AF376">
        <v>2022</v>
      </c>
      <c r="AG376">
        <v>3726</v>
      </c>
      <c r="AH376" t="str">
        <f t="shared" si="38"/>
        <v>1</v>
      </c>
      <c r="AI376" t="str">
        <f>"0000202211305809"</f>
        <v>0000202211305809</v>
      </c>
      <c r="AJ376" s="1">
        <v>44904</v>
      </c>
      <c r="AK376" t="s">
        <v>706</v>
      </c>
      <c r="AL376">
        <v>163.49</v>
      </c>
      <c r="AM376" t="str">
        <f>"8600775929"</f>
        <v>8600775929</v>
      </c>
      <c r="AN376">
        <v>2023</v>
      </c>
      <c r="AO376">
        <v>65</v>
      </c>
      <c r="AP376">
        <v>163.49</v>
      </c>
      <c r="AQ376">
        <v>0</v>
      </c>
      <c r="AR376">
        <v>58.96</v>
      </c>
      <c r="AS376" t="s">
        <v>177</v>
      </c>
      <c r="AT376">
        <v>134.01</v>
      </c>
      <c r="AU376">
        <v>29.48</v>
      </c>
      <c r="AV376">
        <v>2023</v>
      </c>
      <c r="AW376">
        <v>68</v>
      </c>
      <c r="AX376">
        <v>670</v>
      </c>
      <c r="AY376">
        <v>0</v>
      </c>
      <c r="AZ376" t="s">
        <v>707</v>
      </c>
      <c r="BA376">
        <v>163.49</v>
      </c>
      <c r="BB376" s="1">
        <v>44966</v>
      </c>
    </row>
    <row r="377" spans="1:54" x14ac:dyDescent="0.25">
      <c r="A377">
        <v>2023</v>
      </c>
      <c r="B377">
        <v>180</v>
      </c>
      <c r="C377" s="1">
        <v>44966</v>
      </c>
      <c r="D377">
        <v>2023</v>
      </c>
      <c r="E377">
        <v>2022</v>
      </c>
      <c r="F377">
        <v>117</v>
      </c>
      <c r="H377" t="s">
        <v>701</v>
      </c>
      <c r="I377">
        <v>151</v>
      </c>
      <c r="J377">
        <v>0</v>
      </c>
      <c r="K377" t="s">
        <v>509</v>
      </c>
      <c r="R377" t="s">
        <v>702</v>
      </c>
      <c r="S377" t="str">
        <f t="shared" si="37"/>
        <v>31</v>
      </c>
      <c r="T377" t="s">
        <v>122</v>
      </c>
      <c r="W377" t="s">
        <v>703</v>
      </c>
      <c r="Y377">
        <v>3696</v>
      </c>
      <c r="Z377" t="s">
        <v>704</v>
      </c>
      <c r="AB377" t="str">
        <f>"08083020019"</f>
        <v>08083020019</v>
      </c>
      <c r="AC377" t="s">
        <v>116</v>
      </c>
      <c r="AD377" t="s">
        <v>705</v>
      </c>
      <c r="AF377">
        <v>2023</v>
      </c>
      <c r="AG377">
        <v>260</v>
      </c>
      <c r="AH377" t="str">
        <f t="shared" si="38"/>
        <v>1</v>
      </c>
      <c r="AI377" t="str">
        <f>"0000202310061914"</f>
        <v>0000202310061914</v>
      </c>
      <c r="AJ377" s="1">
        <v>44936</v>
      </c>
      <c r="AK377" t="s">
        <v>708</v>
      </c>
      <c r="AL377">
        <v>163.49</v>
      </c>
      <c r="AM377" t="str">
        <f>"8818070926"</f>
        <v>8818070926</v>
      </c>
      <c r="AN377">
        <v>2023</v>
      </c>
      <c r="AO377">
        <v>172</v>
      </c>
      <c r="AP377">
        <v>163.49</v>
      </c>
      <c r="AQ377">
        <v>0</v>
      </c>
      <c r="AR377">
        <v>58.96</v>
      </c>
      <c r="AS377" t="s">
        <v>177</v>
      </c>
      <c r="AT377">
        <v>134.01</v>
      </c>
      <c r="AU377">
        <v>29.48</v>
      </c>
      <c r="AV377">
        <v>2023</v>
      </c>
      <c r="AW377">
        <v>68</v>
      </c>
      <c r="AX377">
        <v>670</v>
      </c>
      <c r="AY377">
        <v>0</v>
      </c>
      <c r="AZ377" t="s">
        <v>707</v>
      </c>
      <c r="BA377">
        <v>163.49</v>
      </c>
      <c r="BB377" s="1">
        <v>44966</v>
      </c>
    </row>
    <row r="378" spans="1:54" x14ac:dyDescent="0.25">
      <c r="A378">
        <v>2023</v>
      </c>
      <c r="B378">
        <v>181</v>
      </c>
      <c r="C378" s="1">
        <v>44966</v>
      </c>
      <c r="D378">
        <v>2023</v>
      </c>
      <c r="E378">
        <v>2022</v>
      </c>
      <c r="F378">
        <v>618</v>
      </c>
      <c r="H378" t="s">
        <v>709</v>
      </c>
      <c r="I378">
        <v>151</v>
      </c>
      <c r="J378">
        <v>0</v>
      </c>
      <c r="K378" t="s">
        <v>509</v>
      </c>
      <c r="R378" t="s">
        <v>710</v>
      </c>
      <c r="S378" t="str">
        <f t="shared" si="37"/>
        <v>31</v>
      </c>
      <c r="T378" t="s">
        <v>122</v>
      </c>
      <c r="W378" t="s">
        <v>711</v>
      </c>
      <c r="Y378">
        <v>3695</v>
      </c>
      <c r="Z378" t="s">
        <v>712</v>
      </c>
      <c r="AB378" t="str">
        <f>"06496050151"</f>
        <v>06496050151</v>
      </c>
      <c r="AC378" t="s">
        <v>116</v>
      </c>
      <c r="AD378" t="s">
        <v>713</v>
      </c>
      <c r="AF378">
        <v>2022</v>
      </c>
      <c r="AG378">
        <v>4010</v>
      </c>
      <c r="AH378" t="str">
        <f t="shared" si="38"/>
        <v>1</v>
      </c>
      <c r="AI378" t="str">
        <f>"32994293"</f>
        <v>32994293</v>
      </c>
      <c r="AJ378" s="1">
        <v>44914</v>
      </c>
      <c r="AK378" t="s">
        <v>714</v>
      </c>
      <c r="AL378">
        <v>864.46</v>
      </c>
      <c r="AM378" t="str">
        <f>"8709090053"</f>
        <v>8709090053</v>
      </c>
      <c r="AN378">
        <v>2023</v>
      </c>
      <c r="AO378">
        <v>171</v>
      </c>
      <c r="AP378">
        <v>864.46</v>
      </c>
      <c r="AQ378">
        <v>0</v>
      </c>
      <c r="AR378">
        <v>311.77999999999997</v>
      </c>
      <c r="AS378" t="s">
        <v>177</v>
      </c>
      <c r="AT378">
        <v>708.57</v>
      </c>
      <c r="AU378">
        <v>155.88999999999999</v>
      </c>
      <c r="AV378">
        <v>2023</v>
      </c>
      <c r="AW378">
        <v>69</v>
      </c>
      <c r="AX378">
        <v>670</v>
      </c>
      <c r="AY378">
        <v>0</v>
      </c>
      <c r="AZ378" t="s">
        <v>715</v>
      </c>
      <c r="BA378">
        <v>864.46</v>
      </c>
      <c r="BB378" s="1">
        <v>44966</v>
      </c>
    </row>
    <row r="379" spans="1:54" x14ac:dyDescent="0.25">
      <c r="A379">
        <v>2023</v>
      </c>
      <c r="B379">
        <v>181</v>
      </c>
      <c r="C379" s="1">
        <v>44966</v>
      </c>
      <c r="D379">
        <v>2023</v>
      </c>
      <c r="E379">
        <v>2022</v>
      </c>
      <c r="F379">
        <v>618</v>
      </c>
      <c r="H379" t="s">
        <v>709</v>
      </c>
      <c r="I379">
        <v>151</v>
      </c>
      <c r="J379">
        <v>0</v>
      </c>
      <c r="K379" t="s">
        <v>509</v>
      </c>
      <c r="R379" t="s">
        <v>710</v>
      </c>
      <c r="S379" t="str">
        <f t="shared" si="37"/>
        <v>31</v>
      </c>
      <c r="T379" t="s">
        <v>122</v>
      </c>
      <c r="W379" t="s">
        <v>711</v>
      </c>
      <c r="Y379">
        <v>3695</v>
      </c>
      <c r="Z379" t="s">
        <v>712</v>
      </c>
      <c r="AB379" t="str">
        <f>"06496050151"</f>
        <v>06496050151</v>
      </c>
      <c r="AC379" t="s">
        <v>116</v>
      </c>
      <c r="AD379" t="s">
        <v>713</v>
      </c>
      <c r="AF379">
        <v>2022</v>
      </c>
      <c r="AG379">
        <v>4011</v>
      </c>
      <c r="AH379" t="str">
        <f t="shared" si="38"/>
        <v>1</v>
      </c>
      <c r="AI379" t="str">
        <f>"32996118"</f>
        <v>32996118</v>
      </c>
      <c r="AJ379" s="1">
        <v>44914</v>
      </c>
      <c r="AK379" t="s">
        <v>716</v>
      </c>
      <c r="AL379">
        <v>41.98</v>
      </c>
      <c r="AM379" t="str">
        <f>"8719614494"</f>
        <v>8719614494</v>
      </c>
      <c r="AN379">
        <v>2023</v>
      </c>
      <c r="AO379">
        <v>171</v>
      </c>
      <c r="AP379">
        <v>41.98</v>
      </c>
      <c r="AQ379">
        <v>0</v>
      </c>
      <c r="AR379">
        <v>311.77999999999997</v>
      </c>
      <c r="BA379">
        <v>41.98</v>
      </c>
      <c r="BB379" s="1">
        <v>44966</v>
      </c>
    </row>
    <row r="380" spans="1:54" x14ac:dyDescent="0.25">
      <c r="A380">
        <v>2023</v>
      </c>
      <c r="B380">
        <v>181</v>
      </c>
      <c r="C380" s="1">
        <v>44966</v>
      </c>
      <c r="D380">
        <v>2023</v>
      </c>
      <c r="E380">
        <v>2022</v>
      </c>
      <c r="F380">
        <v>618</v>
      </c>
      <c r="H380" t="s">
        <v>709</v>
      </c>
      <c r="I380">
        <v>151</v>
      </c>
      <c r="J380">
        <v>0</v>
      </c>
      <c r="K380" t="s">
        <v>509</v>
      </c>
      <c r="R380" t="s">
        <v>710</v>
      </c>
      <c r="S380" t="str">
        <f t="shared" si="37"/>
        <v>31</v>
      </c>
      <c r="T380" t="s">
        <v>122</v>
      </c>
      <c r="W380" t="s">
        <v>711</v>
      </c>
      <c r="Y380">
        <v>3695</v>
      </c>
      <c r="Z380" t="s">
        <v>712</v>
      </c>
      <c r="AB380" t="str">
        <f>"06496050151"</f>
        <v>06496050151</v>
      </c>
      <c r="AC380" t="s">
        <v>116</v>
      </c>
      <c r="AD380" t="s">
        <v>713</v>
      </c>
      <c r="AF380">
        <v>2023</v>
      </c>
      <c r="AG380">
        <v>293</v>
      </c>
      <c r="AH380" t="str">
        <f t="shared" si="38"/>
        <v>1</v>
      </c>
      <c r="AI380" t="str">
        <f>"33080098"</f>
        <v>33080098</v>
      </c>
      <c r="AJ380" s="1">
        <v>44949</v>
      </c>
      <c r="AK380" t="s">
        <v>717</v>
      </c>
      <c r="AL380">
        <v>864.46</v>
      </c>
      <c r="AM380" t="str">
        <f>"8912134641"</f>
        <v>8912134641</v>
      </c>
      <c r="AN380">
        <v>2023</v>
      </c>
      <c r="AO380">
        <v>171</v>
      </c>
      <c r="AP380">
        <v>864.46</v>
      </c>
      <c r="AQ380">
        <v>0</v>
      </c>
      <c r="AR380">
        <v>311.77999999999997</v>
      </c>
      <c r="AS380" t="s">
        <v>177</v>
      </c>
      <c r="AT380">
        <v>708.57</v>
      </c>
      <c r="AU380">
        <v>155.88999999999999</v>
      </c>
      <c r="AV380">
        <v>2023</v>
      </c>
      <c r="AW380">
        <v>69</v>
      </c>
      <c r="AX380">
        <v>670</v>
      </c>
      <c r="AY380">
        <v>0</v>
      </c>
      <c r="AZ380" t="s">
        <v>715</v>
      </c>
      <c r="BA380">
        <v>864.46</v>
      </c>
      <c r="BB380" s="1">
        <v>44966</v>
      </c>
    </row>
    <row r="381" spans="1:54" x14ac:dyDescent="0.25">
      <c r="A381">
        <v>2023</v>
      </c>
      <c r="B381">
        <v>181</v>
      </c>
      <c r="C381" s="1">
        <v>44966</v>
      </c>
      <c r="D381">
        <v>2023</v>
      </c>
      <c r="E381">
        <v>2022</v>
      </c>
      <c r="F381">
        <v>618</v>
      </c>
      <c r="H381" t="s">
        <v>709</v>
      </c>
      <c r="I381">
        <v>151</v>
      </c>
      <c r="J381">
        <v>0</v>
      </c>
      <c r="K381" t="s">
        <v>509</v>
      </c>
      <c r="R381" t="s">
        <v>710</v>
      </c>
      <c r="S381" t="str">
        <f t="shared" si="37"/>
        <v>31</v>
      </c>
      <c r="T381" t="s">
        <v>122</v>
      </c>
      <c r="W381" t="s">
        <v>711</v>
      </c>
      <c r="Y381">
        <v>3695</v>
      </c>
      <c r="Z381" t="s">
        <v>712</v>
      </c>
      <c r="AB381" t="str">
        <f>"06496050151"</f>
        <v>06496050151</v>
      </c>
      <c r="AC381" t="s">
        <v>116</v>
      </c>
      <c r="AD381" t="s">
        <v>713</v>
      </c>
      <c r="AF381">
        <v>2023</v>
      </c>
      <c r="AG381">
        <v>294</v>
      </c>
      <c r="AH381" t="str">
        <f t="shared" si="38"/>
        <v>1</v>
      </c>
      <c r="AI381" t="str">
        <f>"33081916"</f>
        <v>33081916</v>
      </c>
      <c r="AJ381" s="1">
        <v>44949</v>
      </c>
      <c r="AK381" t="s">
        <v>718</v>
      </c>
      <c r="AL381">
        <v>42.12</v>
      </c>
      <c r="AM381" t="str">
        <f>"8913372213"</f>
        <v>8913372213</v>
      </c>
      <c r="AN381">
        <v>2023</v>
      </c>
      <c r="AO381">
        <v>171</v>
      </c>
      <c r="AP381">
        <v>42.12</v>
      </c>
      <c r="AQ381">
        <v>0</v>
      </c>
      <c r="AR381">
        <v>311.77999999999997</v>
      </c>
      <c r="BA381">
        <v>42.12</v>
      </c>
      <c r="BB381" s="1">
        <v>44966</v>
      </c>
    </row>
    <row r="382" spans="1:54" x14ac:dyDescent="0.25">
      <c r="A382">
        <v>2023</v>
      </c>
      <c r="B382">
        <v>182</v>
      </c>
      <c r="C382" s="1">
        <v>44966</v>
      </c>
      <c r="D382">
        <v>2023</v>
      </c>
      <c r="E382">
        <v>2022</v>
      </c>
      <c r="F382">
        <v>611</v>
      </c>
      <c r="H382" t="s">
        <v>719</v>
      </c>
      <c r="I382">
        <v>470</v>
      </c>
      <c r="J382">
        <v>0</v>
      </c>
      <c r="K382" t="s">
        <v>154</v>
      </c>
      <c r="S382" t="str">
        <f>"30"</f>
        <v>30</v>
      </c>
      <c r="T382" t="s">
        <v>78</v>
      </c>
      <c r="W382" t="s">
        <v>720</v>
      </c>
      <c r="Y382">
        <v>3028</v>
      </c>
      <c r="Z382" t="s">
        <v>301</v>
      </c>
      <c r="AB382" t="str">
        <f>"03235660275"</f>
        <v>03235660275</v>
      </c>
      <c r="AC382" t="s">
        <v>116</v>
      </c>
      <c r="AD382" t="s">
        <v>302</v>
      </c>
      <c r="AF382">
        <v>2023</v>
      </c>
      <c r="AG382">
        <v>292</v>
      </c>
      <c r="AH382" t="str">
        <f t="shared" si="38"/>
        <v>1</v>
      </c>
      <c r="AI382" t="s">
        <v>721</v>
      </c>
      <c r="AJ382" s="1">
        <v>44950</v>
      </c>
      <c r="AK382" t="s">
        <v>719</v>
      </c>
      <c r="AL382" s="2">
        <v>6710</v>
      </c>
      <c r="AM382" t="str">
        <f>"8903347005"</f>
        <v>8903347005</v>
      </c>
      <c r="AN382">
        <v>2023</v>
      </c>
      <c r="AO382">
        <v>162</v>
      </c>
      <c r="AP382" s="2">
        <v>4068</v>
      </c>
      <c r="AQ382">
        <v>0</v>
      </c>
      <c r="AR382">
        <v>733.57</v>
      </c>
      <c r="AS382" t="s">
        <v>177</v>
      </c>
      <c r="AT382">
        <v>3334.43</v>
      </c>
      <c r="AU382">
        <v>733.57</v>
      </c>
      <c r="AV382">
        <v>2023</v>
      </c>
      <c r="AW382">
        <v>70</v>
      </c>
      <c r="AX382">
        <v>670</v>
      </c>
      <c r="AY382">
        <v>0</v>
      </c>
      <c r="AZ382" t="s">
        <v>722</v>
      </c>
      <c r="BA382">
        <v>4068</v>
      </c>
      <c r="BB382" s="1">
        <v>44966</v>
      </c>
    </row>
    <row r="383" spans="1:54" x14ac:dyDescent="0.25">
      <c r="A383">
        <v>2023</v>
      </c>
      <c r="B383">
        <v>183</v>
      </c>
      <c r="C383" s="1">
        <v>44966</v>
      </c>
      <c r="D383">
        <v>2023</v>
      </c>
      <c r="E383">
        <v>2022</v>
      </c>
      <c r="F383">
        <v>741</v>
      </c>
      <c r="H383" t="s">
        <v>723</v>
      </c>
      <c r="I383">
        <v>149</v>
      </c>
      <c r="J383">
        <v>0</v>
      </c>
      <c r="K383" t="s">
        <v>277</v>
      </c>
      <c r="R383" t="s">
        <v>724</v>
      </c>
      <c r="S383" t="str">
        <f>"31"</f>
        <v>31</v>
      </c>
      <c r="T383" t="s">
        <v>122</v>
      </c>
      <c r="W383" t="s">
        <v>725</v>
      </c>
      <c r="Y383">
        <v>3028</v>
      </c>
      <c r="Z383" t="s">
        <v>301</v>
      </c>
      <c r="AB383" t="str">
        <f>"03235660275"</f>
        <v>03235660275</v>
      </c>
      <c r="AC383" t="s">
        <v>116</v>
      </c>
      <c r="AD383" t="s">
        <v>302</v>
      </c>
      <c r="AF383">
        <v>2023</v>
      </c>
      <c r="AG383">
        <v>292</v>
      </c>
      <c r="AH383" t="str">
        <f t="shared" si="38"/>
        <v>1</v>
      </c>
      <c r="AI383" t="s">
        <v>721</v>
      </c>
      <c r="AJ383" s="1">
        <v>44950</v>
      </c>
      <c r="AK383" t="s">
        <v>719</v>
      </c>
      <c r="AL383" s="2">
        <v>6710</v>
      </c>
      <c r="AM383" t="str">
        <f>"8903347005"</f>
        <v>8903347005</v>
      </c>
      <c r="AN383">
        <v>2023</v>
      </c>
      <c r="AO383">
        <v>163</v>
      </c>
      <c r="AP383" s="2">
        <v>2642</v>
      </c>
      <c r="AQ383">
        <v>0</v>
      </c>
      <c r="AR383">
        <v>476.43</v>
      </c>
      <c r="AS383" t="s">
        <v>177</v>
      </c>
      <c r="AT383">
        <v>2165.5700000000002</v>
      </c>
      <c r="AU383">
        <v>476.43</v>
      </c>
      <c r="AV383">
        <v>2023</v>
      </c>
      <c r="AW383">
        <v>71</v>
      </c>
      <c r="AX383">
        <v>670</v>
      </c>
      <c r="AY383">
        <v>0</v>
      </c>
      <c r="AZ383" t="s">
        <v>726</v>
      </c>
      <c r="BA383">
        <v>2642</v>
      </c>
      <c r="BB383" s="1">
        <v>44966</v>
      </c>
    </row>
    <row r="384" spans="1:54" x14ac:dyDescent="0.25">
      <c r="A384">
        <v>2023</v>
      </c>
      <c r="B384">
        <v>184</v>
      </c>
      <c r="C384" s="1">
        <v>44967</v>
      </c>
      <c r="D384">
        <v>2023</v>
      </c>
      <c r="E384">
        <v>2023</v>
      </c>
      <c r="F384">
        <v>74</v>
      </c>
      <c r="H384" t="s">
        <v>727</v>
      </c>
      <c r="I384">
        <v>160</v>
      </c>
      <c r="J384">
        <v>0</v>
      </c>
      <c r="K384" t="s">
        <v>70</v>
      </c>
      <c r="S384" t="str">
        <f>"33"</f>
        <v>33</v>
      </c>
      <c r="T384" t="s">
        <v>64</v>
      </c>
      <c r="W384" t="s">
        <v>728</v>
      </c>
      <c r="Y384">
        <v>253</v>
      </c>
      <c r="Z384" t="s">
        <v>72</v>
      </c>
      <c r="AB384" t="str">
        <f>"80007580279"</f>
        <v>80007580279</v>
      </c>
      <c r="AC384" t="s">
        <v>116</v>
      </c>
      <c r="AD384" t="s">
        <v>729</v>
      </c>
      <c r="AP384" s="2">
        <v>21765</v>
      </c>
      <c r="AQ384">
        <v>0</v>
      </c>
      <c r="AR384">
        <v>0</v>
      </c>
      <c r="BA384">
        <v>21765</v>
      </c>
      <c r="BB384" s="1">
        <v>44967</v>
      </c>
    </row>
    <row r="385" spans="1:54" x14ac:dyDescent="0.25">
      <c r="A385">
        <v>2023</v>
      </c>
      <c r="B385">
        <v>185</v>
      </c>
      <c r="C385" s="1">
        <v>44967</v>
      </c>
      <c r="D385">
        <v>2023</v>
      </c>
      <c r="E385">
        <v>2023</v>
      </c>
      <c r="F385">
        <v>38</v>
      </c>
      <c r="H385" t="s">
        <v>224</v>
      </c>
      <c r="I385">
        <v>100</v>
      </c>
      <c r="J385">
        <v>0</v>
      </c>
      <c r="K385" t="s">
        <v>77</v>
      </c>
      <c r="S385" t="str">
        <f>"30"</f>
        <v>30</v>
      </c>
      <c r="T385" t="s">
        <v>78</v>
      </c>
      <c r="W385" t="s">
        <v>730</v>
      </c>
      <c r="Y385">
        <v>253</v>
      </c>
      <c r="Z385" t="s">
        <v>72</v>
      </c>
      <c r="AB385" t="str">
        <f>"80007580279"</f>
        <v>80007580279</v>
      </c>
      <c r="AC385" t="s">
        <v>116</v>
      </c>
      <c r="AD385" t="s">
        <v>729</v>
      </c>
      <c r="AP385">
        <v>238</v>
      </c>
      <c r="AQ385">
        <v>0</v>
      </c>
      <c r="AR385">
        <v>0</v>
      </c>
      <c r="BA385">
        <v>238</v>
      </c>
      <c r="BB385" s="1">
        <v>44967</v>
      </c>
    </row>
    <row r="386" spans="1:54" x14ac:dyDescent="0.25">
      <c r="A386">
        <v>2023</v>
      </c>
      <c r="B386">
        <v>186</v>
      </c>
      <c r="C386" s="1">
        <v>44970</v>
      </c>
      <c r="D386">
        <v>2023</v>
      </c>
      <c r="E386">
        <v>2023</v>
      </c>
      <c r="F386">
        <v>77</v>
      </c>
      <c r="H386" t="s">
        <v>731</v>
      </c>
      <c r="I386">
        <v>149</v>
      </c>
      <c r="J386">
        <v>0</v>
      </c>
      <c r="K386" t="s">
        <v>277</v>
      </c>
      <c r="S386" t="str">
        <f>"32"</f>
        <v>32</v>
      </c>
      <c r="T386" t="s">
        <v>357</v>
      </c>
      <c r="W386" t="s">
        <v>732</v>
      </c>
      <c r="Y386">
        <v>419</v>
      </c>
      <c r="Z386" t="s">
        <v>733</v>
      </c>
      <c r="AB386" t="str">
        <f>"06363391001"</f>
        <v>06363391001</v>
      </c>
      <c r="AC386" t="s">
        <v>116</v>
      </c>
      <c r="AD386" t="s">
        <v>734</v>
      </c>
      <c r="AF386">
        <v>2023</v>
      </c>
      <c r="AG386">
        <v>333</v>
      </c>
      <c r="AH386" t="str">
        <f>"7"</f>
        <v>7</v>
      </c>
      <c r="AI386" t="s">
        <v>168</v>
      </c>
      <c r="AJ386" s="1">
        <v>44965</v>
      </c>
      <c r="AK386" t="s">
        <v>732</v>
      </c>
      <c r="AL386">
        <v>83.2</v>
      </c>
      <c r="AN386">
        <v>2023</v>
      </c>
      <c r="AO386">
        <v>188</v>
      </c>
      <c r="AP386">
        <v>83.2</v>
      </c>
      <c r="AQ386">
        <v>0</v>
      </c>
      <c r="AR386">
        <v>0</v>
      </c>
      <c r="BA386">
        <v>83.2</v>
      </c>
      <c r="BB386" s="1">
        <v>44970</v>
      </c>
    </row>
    <row r="387" spans="1:54" x14ac:dyDescent="0.25">
      <c r="A387">
        <v>2023</v>
      </c>
      <c r="B387">
        <v>187</v>
      </c>
      <c r="C387" s="1">
        <v>44970</v>
      </c>
      <c r="D387">
        <v>2023</v>
      </c>
      <c r="E387">
        <v>2022</v>
      </c>
      <c r="F387">
        <v>678</v>
      </c>
      <c r="H387" t="s">
        <v>735</v>
      </c>
      <c r="I387">
        <v>109</v>
      </c>
      <c r="J387">
        <v>0</v>
      </c>
      <c r="K387" t="s">
        <v>159</v>
      </c>
      <c r="S387" t="str">
        <f>"30"</f>
        <v>30</v>
      </c>
      <c r="T387" t="s">
        <v>78</v>
      </c>
      <c r="W387" t="s">
        <v>736</v>
      </c>
      <c r="Y387">
        <v>125</v>
      </c>
      <c r="Z387" t="s">
        <v>244</v>
      </c>
      <c r="AB387" t="str">
        <f>"80012700276"</f>
        <v>80012700276</v>
      </c>
      <c r="AC387" t="s">
        <v>116</v>
      </c>
      <c r="AD387" t="s">
        <v>245</v>
      </c>
      <c r="AF387">
        <v>2023</v>
      </c>
      <c r="AG387">
        <v>68</v>
      </c>
      <c r="AH387" t="str">
        <f>"7"</f>
        <v>7</v>
      </c>
      <c r="AI387" t="s">
        <v>737</v>
      </c>
      <c r="AJ387" s="1">
        <v>44911</v>
      </c>
      <c r="AK387" t="s">
        <v>736</v>
      </c>
      <c r="AL387" s="2">
        <v>30000</v>
      </c>
      <c r="AN387">
        <v>2023</v>
      </c>
      <c r="AO387">
        <v>149</v>
      </c>
      <c r="AP387" s="2">
        <v>30000</v>
      </c>
      <c r="AQ387">
        <v>0</v>
      </c>
      <c r="AR387">
        <v>0</v>
      </c>
      <c r="BA387">
        <v>30000</v>
      </c>
      <c r="BB387" s="1">
        <v>44970</v>
      </c>
    </row>
    <row r="388" spans="1:54" x14ac:dyDescent="0.25">
      <c r="A388">
        <v>2023</v>
      </c>
      <c r="B388">
        <v>188</v>
      </c>
      <c r="C388" s="1">
        <v>44970</v>
      </c>
      <c r="D388">
        <v>2023</v>
      </c>
      <c r="E388">
        <v>2023</v>
      </c>
      <c r="F388">
        <v>23</v>
      </c>
      <c r="H388" t="s">
        <v>738</v>
      </c>
      <c r="I388">
        <v>120</v>
      </c>
      <c r="J388">
        <v>0</v>
      </c>
      <c r="K388" t="s">
        <v>120</v>
      </c>
      <c r="R388" t="s">
        <v>739</v>
      </c>
      <c r="S388" t="str">
        <f>"30"</f>
        <v>30</v>
      </c>
      <c r="T388" t="s">
        <v>78</v>
      </c>
      <c r="W388" t="s">
        <v>740</v>
      </c>
      <c r="Y388">
        <v>679</v>
      </c>
      <c r="Z388" t="s">
        <v>741</v>
      </c>
      <c r="AB388" t="str">
        <f>"06188330150"</f>
        <v>06188330150</v>
      </c>
      <c r="AC388" t="s">
        <v>116</v>
      </c>
      <c r="AD388" t="s">
        <v>742</v>
      </c>
      <c r="AF388">
        <v>2023</v>
      </c>
      <c r="AG388">
        <v>304</v>
      </c>
      <c r="AH388" t="str">
        <f t="shared" ref="AH388:AH398" si="39">"1"</f>
        <v>1</v>
      </c>
      <c r="AI388" t="str">
        <f>"0002104924"</f>
        <v>0002104924</v>
      </c>
      <c r="AJ388" s="1">
        <v>44956</v>
      </c>
      <c r="AK388" t="s">
        <v>743</v>
      </c>
      <c r="AL388">
        <v>658.8</v>
      </c>
      <c r="AM388" t="str">
        <f>"8928233469"</f>
        <v>8928233469</v>
      </c>
      <c r="AN388">
        <v>2023</v>
      </c>
      <c r="AO388">
        <v>178</v>
      </c>
      <c r="AP388">
        <v>658.8</v>
      </c>
      <c r="AQ388">
        <v>0</v>
      </c>
      <c r="AR388">
        <v>118.8</v>
      </c>
      <c r="AS388" t="s">
        <v>177</v>
      </c>
      <c r="AT388">
        <v>540</v>
      </c>
      <c r="AU388">
        <v>118.8</v>
      </c>
      <c r="AV388">
        <v>2023</v>
      </c>
      <c r="AW388">
        <v>72</v>
      </c>
      <c r="AX388">
        <v>670</v>
      </c>
      <c r="AY388">
        <v>0</v>
      </c>
      <c r="AZ388" t="s">
        <v>744</v>
      </c>
      <c r="BA388">
        <v>658.8</v>
      </c>
      <c r="BB388" s="1">
        <v>44970</v>
      </c>
    </row>
    <row r="389" spans="1:54" x14ac:dyDescent="0.25">
      <c r="A389">
        <v>2023</v>
      </c>
      <c r="B389">
        <v>189</v>
      </c>
      <c r="C389" s="1">
        <v>44970</v>
      </c>
      <c r="D389">
        <v>2023</v>
      </c>
      <c r="E389">
        <v>2022</v>
      </c>
      <c r="F389">
        <v>434</v>
      </c>
      <c r="H389" t="s">
        <v>745</v>
      </c>
      <c r="I389">
        <v>119</v>
      </c>
      <c r="J389">
        <v>0</v>
      </c>
      <c r="K389" t="s">
        <v>137</v>
      </c>
      <c r="R389" t="s">
        <v>746</v>
      </c>
      <c r="S389" t="str">
        <f>"30"</f>
        <v>30</v>
      </c>
      <c r="T389" t="s">
        <v>78</v>
      </c>
      <c r="W389" t="s">
        <v>747</v>
      </c>
      <c r="Y389">
        <v>3835</v>
      </c>
      <c r="Z389" t="s">
        <v>748</v>
      </c>
      <c r="AB389" t="str">
        <f>"01920151204"</f>
        <v>01920151204</v>
      </c>
      <c r="AC389" t="s">
        <v>116</v>
      </c>
      <c r="AD389" t="s">
        <v>749</v>
      </c>
      <c r="AF389">
        <v>2022</v>
      </c>
      <c r="AG389">
        <v>3035</v>
      </c>
      <c r="AH389" t="str">
        <f t="shared" si="39"/>
        <v>1</v>
      </c>
      <c r="AI389" t="s">
        <v>750</v>
      </c>
      <c r="AJ389" s="1">
        <v>44833</v>
      </c>
      <c r="AK389" t="s">
        <v>747</v>
      </c>
      <c r="AL389" s="2">
        <v>5200</v>
      </c>
      <c r="AM389" t="str">
        <f>"8131471961"</f>
        <v>8131471961</v>
      </c>
      <c r="AN389">
        <v>2023</v>
      </c>
      <c r="AO389">
        <v>186</v>
      </c>
      <c r="AP389" s="2">
        <v>5200</v>
      </c>
      <c r="AQ389">
        <v>0</v>
      </c>
      <c r="AR389">
        <v>0</v>
      </c>
      <c r="BA389">
        <v>5200</v>
      </c>
      <c r="BB389" s="1">
        <v>44970</v>
      </c>
    </row>
    <row r="390" spans="1:54" x14ac:dyDescent="0.25">
      <c r="A390">
        <v>2023</v>
      </c>
      <c r="B390">
        <v>190</v>
      </c>
      <c r="C390" s="1">
        <v>44970</v>
      </c>
      <c r="D390">
        <v>2023</v>
      </c>
      <c r="E390">
        <v>2022</v>
      </c>
      <c r="F390">
        <v>676</v>
      </c>
      <c r="H390" t="s">
        <v>751</v>
      </c>
      <c r="I390">
        <v>149</v>
      </c>
      <c r="J390">
        <v>0</v>
      </c>
      <c r="K390" t="s">
        <v>277</v>
      </c>
      <c r="R390" t="s">
        <v>752</v>
      </c>
      <c r="S390" t="str">
        <f t="shared" ref="S390:S397" si="40">"31"</f>
        <v>31</v>
      </c>
      <c r="T390" t="s">
        <v>122</v>
      </c>
      <c r="W390" t="s">
        <v>753</v>
      </c>
      <c r="Y390">
        <v>4064</v>
      </c>
      <c r="Z390" t="s">
        <v>754</v>
      </c>
      <c r="AB390" t="str">
        <f>"04117300279"</f>
        <v>04117300279</v>
      </c>
      <c r="AC390" t="s">
        <v>116</v>
      </c>
      <c r="AD390" t="s">
        <v>755</v>
      </c>
      <c r="AF390">
        <v>2022</v>
      </c>
      <c r="AG390">
        <v>3988</v>
      </c>
      <c r="AH390" t="str">
        <f t="shared" si="39"/>
        <v>1</v>
      </c>
      <c r="AI390" t="s">
        <v>756</v>
      </c>
      <c r="AJ390" s="1">
        <v>44907</v>
      </c>
      <c r="AK390" t="s">
        <v>753</v>
      </c>
      <c r="AL390">
        <v>135</v>
      </c>
      <c r="AM390" t="str">
        <f>"8674146349"</f>
        <v>8674146349</v>
      </c>
      <c r="AN390">
        <v>2023</v>
      </c>
      <c r="AO390">
        <v>150</v>
      </c>
      <c r="AP390">
        <v>135</v>
      </c>
      <c r="AQ390">
        <v>0</v>
      </c>
      <c r="AR390">
        <v>16.23</v>
      </c>
      <c r="AS390" t="s">
        <v>177</v>
      </c>
      <c r="AT390">
        <v>73.77</v>
      </c>
      <c r="AU390">
        <v>16.23</v>
      </c>
      <c r="AV390">
        <v>2023</v>
      </c>
      <c r="AW390">
        <v>73</v>
      </c>
      <c r="AX390">
        <v>670</v>
      </c>
      <c r="AY390">
        <v>0</v>
      </c>
      <c r="AZ390" t="s">
        <v>757</v>
      </c>
      <c r="BA390">
        <v>135</v>
      </c>
      <c r="BB390" s="1">
        <v>44970</v>
      </c>
    </row>
    <row r="391" spans="1:54" x14ac:dyDescent="0.25">
      <c r="A391">
        <v>2023</v>
      </c>
      <c r="B391">
        <v>191</v>
      </c>
      <c r="C391" s="1">
        <v>44970</v>
      </c>
      <c r="D391">
        <v>2023</v>
      </c>
      <c r="E391">
        <v>2022</v>
      </c>
      <c r="F391">
        <v>724</v>
      </c>
      <c r="H391" t="s">
        <v>758</v>
      </c>
      <c r="I391">
        <v>149</v>
      </c>
      <c r="J391">
        <v>0</v>
      </c>
      <c r="K391" t="s">
        <v>277</v>
      </c>
      <c r="R391" t="s">
        <v>759</v>
      </c>
      <c r="S391" t="str">
        <f t="shared" si="40"/>
        <v>31</v>
      </c>
      <c r="T391" t="s">
        <v>122</v>
      </c>
      <c r="W391" t="s">
        <v>760</v>
      </c>
      <c r="Y391">
        <v>4064</v>
      </c>
      <c r="Z391" t="s">
        <v>754</v>
      </c>
      <c r="AB391" t="str">
        <f>"04117300279"</f>
        <v>04117300279</v>
      </c>
      <c r="AC391" t="s">
        <v>116</v>
      </c>
      <c r="AD391" t="s">
        <v>755</v>
      </c>
      <c r="AF391">
        <v>2023</v>
      </c>
      <c r="AG391">
        <v>261</v>
      </c>
      <c r="AH391" t="str">
        <f t="shared" si="39"/>
        <v>1</v>
      </c>
      <c r="AI391" t="s">
        <v>761</v>
      </c>
      <c r="AJ391" s="1">
        <v>44937</v>
      </c>
      <c r="AK391" t="s">
        <v>762</v>
      </c>
      <c r="AL391">
        <v>284.44</v>
      </c>
      <c r="AM391" t="str">
        <f>"8860691309"</f>
        <v>8860691309</v>
      </c>
      <c r="AN391">
        <v>2023</v>
      </c>
      <c r="AO391">
        <v>190</v>
      </c>
      <c r="AP391">
        <v>284.44</v>
      </c>
      <c r="AQ391">
        <v>0</v>
      </c>
      <c r="AR391">
        <v>79.03</v>
      </c>
      <c r="AS391" t="s">
        <v>177</v>
      </c>
      <c r="AT391">
        <v>196.26</v>
      </c>
      <c r="AU391">
        <v>43.18</v>
      </c>
      <c r="AV391">
        <v>2023</v>
      </c>
      <c r="AW391">
        <v>74</v>
      </c>
      <c r="AX391">
        <v>670</v>
      </c>
      <c r="AY391">
        <v>0</v>
      </c>
      <c r="AZ391" t="s">
        <v>763</v>
      </c>
      <c r="BA391">
        <v>284.44</v>
      </c>
      <c r="BB391" s="1">
        <v>44970</v>
      </c>
    </row>
    <row r="392" spans="1:54" x14ac:dyDescent="0.25">
      <c r="A392">
        <v>2023</v>
      </c>
      <c r="B392">
        <v>191</v>
      </c>
      <c r="C392" s="1">
        <v>44970</v>
      </c>
      <c r="D392">
        <v>2023</v>
      </c>
      <c r="E392">
        <v>2022</v>
      </c>
      <c r="F392">
        <v>724</v>
      </c>
      <c r="H392" t="s">
        <v>758</v>
      </c>
      <c r="I392">
        <v>149</v>
      </c>
      <c r="J392">
        <v>0</v>
      </c>
      <c r="K392" t="s">
        <v>277</v>
      </c>
      <c r="R392" t="s">
        <v>759</v>
      </c>
      <c r="S392" t="str">
        <f t="shared" si="40"/>
        <v>31</v>
      </c>
      <c r="T392" t="s">
        <v>122</v>
      </c>
      <c r="W392" t="s">
        <v>760</v>
      </c>
      <c r="Y392">
        <v>4064</v>
      </c>
      <c r="Z392" t="s">
        <v>754</v>
      </c>
      <c r="AB392" t="str">
        <f>"04117300279"</f>
        <v>04117300279</v>
      </c>
      <c r="AC392" t="s">
        <v>116</v>
      </c>
      <c r="AD392" t="s">
        <v>755</v>
      </c>
      <c r="AF392">
        <v>2023</v>
      </c>
      <c r="AG392">
        <v>262</v>
      </c>
      <c r="AH392" t="str">
        <f t="shared" si="39"/>
        <v>1</v>
      </c>
      <c r="AI392" t="s">
        <v>764</v>
      </c>
      <c r="AJ392" s="1">
        <v>44937</v>
      </c>
      <c r="AK392" t="s">
        <v>765</v>
      </c>
      <c r="AL392">
        <v>243.81</v>
      </c>
      <c r="AM392" t="str">
        <f>"8860691349"</f>
        <v>8860691349</v>
      </c>
      <c r="AN392">
        <v>2023</v>
      </c>
      <c r="AO392">
        <v>190</v>
      </c>
      <c r="AP392">
        <v>243.81</v>
      </c>
      <c r="AQ392">
        <v>0</v>
      </c>
      <c r="AR392">
        <v>79.03</v>
      </c>
      <c r="AS392" t="s">
        <v>177</v>
      </c>
      <c r="AT392">
        <v>162.96</v>
      </c>
      <c r="AU392">
        <v>35.85</v>
      </c>
      <c r="AV392">
        <v>2023</v>
      </c>
      <c r="AW392">
        <v>74</v>
      </c>
      <c r="AX392">
        <v>670</v>
      </c>
      <c r="AY392">
        <v>0</v>
      </c>
      <c r="AZ392" t="s">
        <v>763</v>
      </c>
      <c r="BA392">
        <v>243.81</v>
      </c>
      <c r="BB392" s="1">
        <v>44970</v>
      </c>
    </row>
    <row r="393" spans="1:54" x14ac:dyDescent="0.25">
      <c r="A393">
        <v>2023</v>
      </c>
      <c r="B393">
        <v>192</v>
      </c>
      <c r="C393" s="1">
        <v>44970</v>
      </c>
      <c r="D393">
        <v>2023</v>
      </c>
      <c r="E393">
        <v>2022</v>
      </c>
      <c r="F393">
        <v>136</v>
      </c>
      <c r="H393" t="s">
        <v>766</v>
      </c>
      <c r="I393">
        <v>149</v>
      </c>
      <c r="J393">
        <v>0</v>
      </c>
      <c r="K393" t="s">
        <v>277</v>
      </c>
      <c r="R393" t="s">
        <v>767</v>
      </c>
      <c r="S393" t="str">
        <f t="shared" si="40"/>
        <v>31</v>
      </c>
      <c r="T393" t="s">
        <v>122</v>
      </c>
      <c r="W393" t="s">
        <v>768</v>
      </c>
      <c r="Y393">
        <v>3327</v>
      </c>
      <c r="Z393" t="s">
        <v>769</v>
      </c>
      <c r="AB393" t="str">
        <f>"04394750279"</f>
        <v>04394750279</v>
      </c>
      <c r="AC393" t="s">
        <v>116</v>
      </c>
      <c r="AD393" t="s">
        <v>770</v>
      </c>
      <c r="AF393">
        <v>2022</v>
      </c>
      <c r="AG393">
        <v>3990</v>
      </c>
      <c r="AH393" t="str">
        <f t="shared" si="39"/>
        <v>1</v>
      </c>
      <c r="AI393" t="str">
        <f>"654"</f>
        <v>654</v>
      </c>
      <c r="AJ393" s="1">
        <v>44916</v>
      </c>
      <c r="AK393" t="s">
        <v>768</v>
      </c>
      <c r="AL393">
        <v>678.56</v>
      </c>
      <c r="AM393" t="str">
        <f>"8682170937"</f>
        <v>8682170937</v>
      </c>
      <c r="AN393">
        <v>2023</v>
      </c>
      <c r="AO393">
        <v>161</v>
      </c>
      <c r="AP393">
        <v>678.56</v>
      </c>
      <c r="AQ393">
        <v>0</v>
      </c>
      <c r="AR393">
        <v>122.36</v>
      </c>
      <c r="AS393" t="s">
        <v>177</v>
      </c>
      <c r="AT393">
        <v>556.20000000000005</v>
      </c>
      <c r="AU393">
        <v>122.36</v>
      </c>
      <c r="AV393">
        <v>2023</v>
      </c>
      <c r="AW393">
        <v>75</v>
      </c>
      <c r="AX393">
        <v>670</v>
      </c>
      <c r="AY393">
        <v>0</v>
      </c>
      <c r="AZ393" t="s">
        <v>771</v>
      </c>
      <c r="BA393">
        <v>678.56</v>
      </c>
      <c r="BB393" s="1">
        <v>44970</v>
      </c>
    </row>
    <row r="394" spans="1:54" x14ac:dyDescent="0.25">
      <c r="A394">
        <v>2023</v>
      </c>
      <c r="B394">
        <v>193</v>
      </c>
      <c r="C394" s="1">
        <v>44970</v>
      </c>
      <c r="D394">
        <v>2023</v>
      </c>
      <c r="E394">
        <v>2022</v>
      </c>
      <c r="F394">
        <v>712</v>
      </c>
      <c r="H394" t="s">
        <v>772</v>
      </c>
      <c r="I394">
        <v>149</v>
      </c>
      <c r="J394">
        <v>0</v>
      </c>
      <c r="K394" t="s">
        <v>277</v>
      </c>
      <c r="R394" t="s">
        <v>773</v>
      </c>
      <c r="S394" t="str">
        <f t="shared" si="40"/>
        <v>31</v>
      </c>
      <c r="T394" t="s">
        <v>122</v>
      </c>
      <c r="W394" t="s">
        <v>774</v>
      </c>
      <c r="Y394">
        <v>22</v>
      </c>
      <c r="Z394" t="s">
        <v>684</v>
      </c>
      <c r="AB394" t="str">
        <f>"01596440279"</f>
        <v>01596440279</v>
      </c>
      <c r="AC394" t="s">
        <v>116</v>
      </c>
      <c r="AD394" t="s">
        <v>685</v>
      </c>
      <c r="AF394">
        <v>2023</v>
      </c>
      <c r="AG394">
        <v>320</v>
      </c>
      <c r="AH394" t="str">
        <f t="shared" si="39"/>
        <v>1</v>
      </c>
      <c r="AI394" t="s">
        <v>775</v>
      </c>
      <c r="AJ394" s="1">
        <v>44957</v>
      </c>
      <c r="AK394" t="s">
        <v>774</v>
      </c>
      <c r="AL394">
        <v>33.159999999999997</v>
      </c>
      <c r="AM394" t="str">
        <f>"8939489744"</f>
        <v>8939489744</v>
      </c>
      <c r="AN394">
        <v>2023</v>
      </c>
      <c r="AO394">
        <v>191</v>
      </c>
      <c r="AP394">
        <v>33.159999999999997</v>
      </c>
      <c r="AQ394">
        <v>0</v>
      </c>
      <c r="AR394">
        <v>5.98</v>
      </c>
      <c r="AS394" t="s">
        <v>177</v>
      </c>
      <c r="AT394">
        <v>27.18</v>
      </c>
      <c r="AU394">
        <v>5.98</v>
      </c>
      <c r="AV394">
        <v>2023</v>
      </c>
      <c r="AW394">
        <v>76</v>
      </c>
      <c r="AX394">
        <v>670</v>
      </c>
      <c r="AY394">
        <v>0</v>
      </c>
      <c r="AZ394" t="s">
        <v>776</v>
      </c>
      <c r="BA394">
        <v>33.159999999999997</v>
      </c>
      <c r="BB394" s="1">
        <v>44970</v>
      </c>
    </row>
    <row r="395" spans="1:54" x14ac:dyDescent="0.25">
      <c r="A395">
        <v>2023</v>
      </c>
      <c r="B395">
        <v>194</v>
      </c>
      <c r="C395" s="1">
        <v>44970</v>
      </c>
      <c r="D395">
        <v>2023</v>
      </c>
      <c r="E395">
        <v>2022</v>
      </c>
      <c r="F395">
        <v>712</v>
      </c>
      <c r="H395" t="s">
        <v>772</v>
      </c>
      <c r="I395">
        <v>149</v>
      </c>
      <c r="J395">
        <v>0</v>
      </c>
      <c r="K395" t="s">
        <v>277</v>
      </c>
      <c r="R395" t="s">
        <v>773</v>
      </c>
      <c r="S395" t="str">
        <f t="shared" si="40"/>
        <v>31</v>
      </c>
      <c r="T395" t="s">
        <v>122</v>
      </c>
      <c r="W395" t="s">
        <v>777</v>
      </c>
      <c r="Y395">
        <v>22</v>
      </c>
      <c r="Z395" t="s">
        <v>684</v>
      </c>
      <c r="AB395" t="str">
        <f>"01596440279"</f>
        <v>01596440279</v>
      </c>
      <c r="AC395" t="s">
        <v>116</v>
      </c>
      <c r="AD395" t="s">
        <v>685</v>
      </c>
      <c r="AF395">
        <v>2023</v>
      </c>
      <c r="AG395">
        <v>303</v>
      </c>
      <c r="AH395" t="str">
        <f t="shared" si="39"/>
        <v>1</v>
      </c>
      <c r="AI395" t="s">
        <v>778</v>
      </c>
      <c r="AJ395" s="1">
        <v>44956</v>
      </c>
      <c r="AK395" t="s">
        <v>779</v>
      </c>
      <c r="AL395">
        <v>613.16999999999996</v>
      </c>
      <c r="AM395" t="str">
        <f>"8929097138"</f>
        <v>8929097138</v>
      </c>
      <c r="AN395">
        <v>2023</v>
      </c>
      <c r="AO395">
        <v>192</v>
      </c>
      <c r="AP395">
        <v>416.84</v>
      </c>
      <c r="AQ395">
        <v>0</v>
      </c>
      <c r="AR395">
        <v>110.57</v>
      </c>
      <c r="AS395" t="s">
        <v>177</v>
      </c>
      <c r="AT395">
        <v>502.6</v>
      </c>
      <c r="AU395">
        <v>110.57</v>
      </c>
      <c r="AV395">
        <v>2023</v>
      </c>
      <c r="AW395">
        <v>77</v>
      </c>
      <c r="AX395">
        <v>670</v>
      </c>
      <c r="AY395">
        <v>0</v>
      </c>
      <c r="AZ395" t="s">
        <v>780</v>
      </c>
      <c r="BA395">
        <v>416.84</v>
      </c>
      <c r="BB395" s="1">
        <v>44970</v>
      </c>
    </row>
    <row r="396" spans="1:54" x14ac:dyDescent="0.25">
      <c r="A396">
        <v>2023</v>
      </c>
      <c r="B396">
        <v>195</v>
      </c>
      <c r="C396" s="1">
        <v>44970</v>
      </c>
      <c r="D396">
        <v>2023</v>
      </c>
      <c r="E396">
        <v>2023</v>
      </c>
      <c r="F396">
        <v>41</v>
      </c>
      <c r="H396" t="s">
        <v>781</v>
      </c>
      <c r="I396">
        <v>120</v>
      </c>
      <c r="J396">
        <v>0</v>
      </c>
      <c r="K396" t="s">
        <v>120</v>
      </c>
      <c r="R396" t="s">
        <v>782</v>
      </c>
      <c r="S396" t="str">
        <f t="shared" si="40"/>
        <v>31</v>
      </c>
      <c r="T396" t="s">
        <v>122</v>
      </c>
      <c r="W396" t="s">
        <v>783</v>
      </c>
      <c r="Y396">
        <v>22</v>
      </c>
      <c r="Z396" t="s">
        <v>684</v>
      </c>
      <c r="AB396" t="str">
        <f>"01596440279"</f>
        <v>01596440279</v>
      </c>
      <c r="AC396" t="s">
        <v>116</v>
      </c>
      <c r="AD396" t="s">
        <v>685</v>
      </c>
      <c r="AF396">
        <v>2023</v>
      </c>
      <c r="AG396">
        <v>303</v>
      </c>
      <c r="AH396" t="str">
        <f t="shared" si="39"/>
        <v>1</v>
      </c>
      <c r="AI396" t="s">
        <v>778</v>
      </c>
      <c r="AJ396" s="1">
        <v>44956</v>
      </c>
      <c r="AK396" t="s">
        <v>779</v>
      </c>
      <c r="AL396">
        <v>613.16999999999996</v>
      </c>
      <c r="AM396" t="str">
        <f>"8929097138"</f>
        <v>8929097138</v>
      </c>
      <c r="AN396">
        <v>2023</v>
      </c>
      <c r="AO396">
        <v>193</v>
      </c>
      <c r="AP396">
        <v>196.33</v>
      </c>
      <c r="AQ396">
        <v>0</v>
      </c>
      <c r="AR396">
        <v>0</v>
      </c>
      <c r="BA396">
        <v>196.33</v>
      </c>
      <c r="BB396" s="1">
        <v>44970</v>
      </c>
    </row>
    <row r="397" spans="1:54" x14ac:dyDescent="0.25">
      <c r="A397">
        <v>2023</v>
      </c>
      <c r="B397">
        <v>196</v>
      </c>
      <c r="C397" s="1">
        <v>44970</v>
      </c>
      <c r="D397">
        <v>2023</v>
      </c>
      <c r="E397">
        <v>2022</v>
      </c>
      <c r="F397">
        <v>226</v>
      </c>
      <c r="H397" t="s">
        <v>784</v>
      </c>
      <c r="I397">
        <v>149</v>
      </c>
      <c r="J397">
        <v>0</v>
      </c>
      <c r="K397" t="s">
        <v>277</v>
      </c>
      <c r="R397" t="s">
        <v>785</v>
      </c>
      <c r="S397" t="str">
        <f t="shared" si="40"/>
        <v>31</v>
      </c>
      <c r="T397" t="s">
        <v>122</v>
      </c>
      <c r="W397" t="s">
        <v>786</v>
      </c>
      <c r="Y397">
        <v>1585</v>
      </c>
      <c r="Z397" t="s">
        <v>787</v>
      </c>
      <c r="AA397" t="s">
        <v>788</v>
      </c>
      <c r="AB397" t="s">
        <v>789</v>
      </c>
      <c r="AC397" t="s">
        <v>116</v>
      </c>
      <c r="AD397" t="s">
        <v>790</v>
      </c>
      <c r="AF397">
        <v>2022</v>
      </c>
      <c r="AG397">
        <v>4036</v>
      </c>
      <c r="AH397" t="str">
        <f t="shared" si="39"/>
        <v>1</v>
      </c>
      <c r="AI397" t="str">
        <f>"272"</f>
        <v>272</v>
      </c>
      <c r="AJ397" s="1">
        <v>44924</v>
      </c>
      <c r="AK397" t="s">
        <v>786</v>
      </c>
      <c r="AL397" s="2">
        <v>15791.39</v>
      </c>
      <c r="AM397" t="str">
        <f>"8737270777"</f>
        <v>8737270777</v>
      </c>
      <c r="AN397">
        <v>2023</v>
      </c>
      <c r="AO397">
        <v>182</v>
      </c>
      <c r="AP397" s="2">
        <v>15791.39</v>
      </c>
      <c r="AQ397">
        <v>0</v>
      </c>
      <c r="AR397" s="2">
        <v>2847.63</v>
      </c>
      <c r="AS397" t="s">
        <v>177</v>
      </c>
      <c r="AT397">
        <v>12943.76</v>
      </c>
      <c r="AU397">
        <v>2847.63</v>
      </c>
      <c r="AV397">
        <v>2023</v>
      </c>
      <c r="AW397">
        <v>78</v>
      </c>
      <c r="AX397">
        <v>670</v>
      </c>
      <c r="AY397">
        <v>0</v>
      </c>
      <c r="AZ397" t="s">
        <v>791</v>
      </c>
      <c r="BA397">
        <v>15791.39</v>
      </c>
      <c r="BB397" s="1">
        <v>44970</v>
      </c>
    </row>
    <row r="398" spans="1:54" x14ac:dyDescent="0.25">
      <c r="A398">
        <v>2023</v>
      </c>
      <c r="B398">
        <v>197</v>
      </c>
      <c r="C398" s="1">
        <v>44970</v>
      </c>
      <c r="D398">
        <v>2023</v>
      </c>
      <c r="E398">
        <v>2022</v>
      </c>
      <c r="F398">
        <v>660</v>
      </c>
      <c r="H398" t="s">
        <v>792</v>
      </c>
      <c r="I398">
        <v>149</v>
      </c>
      <c r="J398">
        <v>0</v>
      </c>
      <c r="K398" t="s">
        <v>277</v>
      </c>
      <c r="R398" t="s">
        <v>793</v>
      </c>
      <c r="S398" t="str">
        <f>"30"</f>
        <v>30</v>
      </c>
      <c r="T398" t="s">
        <v>78</v>
      </c>
      <c r="W398" t="s">
        <v>794</v>
      </c>
      <c r="Y398">
        <v>1353</v>
      </c>
      <c r="Z398" t="s">
        <v>795</v>
      </c>
      <c r="AB398" t="str">
        <f>"03456230279"</f>
        <v>03456230279</v>
      </c>
      <c r="AC398" t="s">
        <v>116</v>
      </c>
      <c r="AD398" t="s">
        <v>796</v>
      </c>
      <c r="AF398">
        <v>2023</v>
      </c>
      <c r="AG398">
        <v>11</v>
      </c>
      <c r="AH398" t="str">
        <f t="shared" si="39"/>
        <v>1</v>
      </c>
      <c r="AI398" t="str">
        <f>"394"</f>
        <v>394</v>
      </c>
      <c r="AJ398" s="1">
        <v>44926</v>
      </c>
      <c r="AK398" t="s">
        <v>794</v>
      </c>
      <c r="AL398" s="2">
        <v>2119.81</v>
      </c>
      <c r="AM398" t="str">
        <f>"8763713259"</f>
        <v>8763713259</v>
      </c>
      <c r="AN398">
        <v>2023</v>
      </c>
      <c r="AO398">
        <v>154</v>
      </c>
      <c r="AP398" s="2">
        <v>2119.81</v>
      </c>
      <c r="AQ398">
        <v>0</v>
      </c>
      <c r="AR398">
        <v>382.26</v>
      </c>
      <c r="AS398" t="s">
        <v>177</v>
      </c>
      <c r="AT398">
        <v>1737.55</v>
      </c>
      <c r="AU398">
        <v>382.26</v>
      </c>
      <c r="AV398">
        <v>2023</v>
      </c>
      <c r="AW398">
        <v>79</v>
      </c>
      <c r="AX398">
        <v>670</v>
      </c>
      <c r="AY398">
        <v>0</v>
      </c>
      <c r="AZ398" t="s">
        <v>797</v>
      </c>
      <c r="BA398">
        <v>2119.81</v>
      </c>
      <c r="BB398" s="1">
        <v>44970</v>
      </c>
    </row>
    <row r="399" spans="1:54" x14ac:dyDescent="0.25">
      <c r="A399">
        <v>2023</v>
      </c>
      <c r="B399">
        <v>198</v>
      </c>
      <c r="C399" s="1">
        <v>44972</v>
      </c>
      <c r="D399">
        <v>2023</v>
      </c>
      <c r="E399">
        <v>2023</v>
      </c>
      <c r="F399">
        <v>28</v>
      </c>
      <c r="H399" t="s">
        <v>798</v>
      </c>
      <c r="I399">
        <v>116</v>
      </c>
      <c r="J399">
        <v>0</v>
      </c>
      <c r="K399" t="s">
        <v>90</v>
      </c>
      <c r="S399" t="str">
        <f>"30"</f>
        <v>30</v>
      </c>
      <c r="T399" t="s">
        <v>78</v>
      </c>
      <c r="W399" t="s">
        <v>799</v>
      </c>
      <c r="Y399">
        <v>1455</v>
      </c>
      <c r="Z399" t="s">
        <v>102</v>
      </c>
      <c r="AC399" t="s">
        <v>103</v>
      </c>
      <c r="AP399" s="2">
        <v>1341.21</v>
      </c>
      <c r="AQ399">
        <v>0</v>
      </c>
      <c r="AR399">
        <v>0</v>
      </c>
      <c r="BA399">
        <v>1341.21</v>
      </c>
      <c r="BB399" s="1">
        <v>44972</v>
      </c>
    </row>
    <row r="400" spans="1:54" x14ac:dyDescent="0.25">
      <c r="A400">
        <v>2023</v>
      </c>
      <c r="B400">
        <v>199</v>
      </c>
      <c r="C400" s="1">
        <v>44972</v>
      </c>
      <c r="D400">
        <v>2023</v>
      </c>
      <c r="E400">
        <v>2023</v>
      </c>
      <c r="F400">
        <v>66</v>
      </c>
      <c r="H400" t="s">
        <v>482</v>
      </c>
      <c r="I400">
        <v>400</v>
      </c>
      <c r="J400">
        <v>0</v>
      </c>
      <c r="K400" t="s">
        <v>95</v>
      </c>
      <c r="S400" t="str">
        <f>"30"</f>
        <v>30</v>
      </c>
      <c r="T400" t="s">
        <v>78</v>
      </c>
      <c r="W400" t="s">
        <v>800</v>
      </c>
      <c r="Y400">
        <v>1455</v>
      </c>
      <c r="Z400" t="s">
        <v>102</v>
      </c>
      <c r="AC400" t="s">
        <v>103</v>
      </c>
      <c r="AP400" s="2">
        <v>1812.25</v>
      </c>
      <c r="AQ400">
        <v>0</v>
      </c>
      <c r="AR400">
        <v>0</v>
      </c>
      <c r="BA400">
        <v>1812.25</v>
      </c>
      <c r="BB400" s="1">
        <v>44972</v>
      </c>
    </row>
    <row r="401" spans="1:54" x14ac:dyDescent="0.25">
      <c r="A401">
        <v>2023</v>
      </c>
      <c r="B401">
        <v>200</v>
      </c>
      <c r="C401" s="1">
        <v>44972</v>
      </c>
      <c r="D401">
        <v>2023</v>
      </c>
      <c r="E401">
        <v>2021</v>
      </c>
      <c r="F401">
        <v>713</v>
      </c>
      <c r="H401" t="s">
        <v>471</v>
      </c>
      <c r="I401">
        <v>149</v>
      </c>
      <c r="J401">
        <v>0</v>
      </c>
      <c r="K401" t="s">
        <v>277</v>
      </c>
      <c r="R401" t="s">
        <v>472</v>
      </c>
      <c r="S401" t="str">
        <f>"30"</f>
        <v>30</v>
      </c>
      <c r="T401" t="s">
        <v>78</v>
      </c>
      <c r="W401" t="s">
        <v>473</v>
      </c>
      <c r="Y401">
        <v>3716</v>
      </c>
      <c r="Z401" t="s">
        <v>474</v>
      </c>
      <c r="AB401" t="str">
        <f>"01944260221"</f>
        <v>01944260221</v>
      </c>
      <c r="AC401" t="s">
        <v>116</v>
      </c>
      <c r="AD401" t="s">
        <v>475</v>
      </c>
      <c r="AF401">
        <v>2023</v>
      </c>
      <c r="AG401">
        <v>9</v>
      </c>
      <c r="AH401" t="str">
        <f t="shared" ref="AH401:AH432" si="41">"1"</f>
        <v>1</v>
      </c>
      <c r="AI401" t="s">
        <v>476</v>
      </c>
      <c r="AJ401" s="1">
        <v>44926</v>
      </c>
      <c r="AK401" t="s">
        <v>473</v>
      </c>
      <c r="AL401">
        <v>671</v>
      </c>
      <c r="AM401" t="str">
        <f>"8760224864"</f>
        <v>8760224864</v>
      </c>
      <c r="AN401">
        <v>2023</v>
      </c>
      <c r="AO401">
        <v>209</v>
      </c>
      <c r="AP401">
        <v>671</v>
      </c>
      <c r="AQ401">
        <v>0</v>
      </c>
      <c r="AR401">
        <v>121</v>
      </c>
      <c r="AS401" t="s">
        <v>177</v>
      </c>
      <c r="AT401">
        <v>550</v>
      </c>
      <c r="AU401">
        <v>121</v>
      </c>
      <c r="AV401">
        <v>2023</v>
      </c>
      <c r="AW401">
        <v>80</v>
      </c>
      <c r="AX401">
        <v>670</v>
      </c>
      <c r="AY401">
        <v>0</v>
      </c>
      <c r="AZ401" t="s">
        <v>477</v>
      </c>
      <c r="BA401">
        <v>671</v>
      </c>
      <c r="BB401" s="1">
        <v>44972</v>
      </c>
    </row>
    <row r="402" spans="1:54" x14ac:dyDescent="0.25">
      <c r="A402">
        <v>2023</v>
      </c>
      <c r="B402">
        <v>201</v>
      </c>
      <c r="C402" s="1">
        <v>44972</v>
      </c>
      <c r="D402">
        <v>2023</v>
      </c>
      <c r="E402">
        <v>2022</v>
      </c>
      <c r="F402">
        <v>722</v>
      </c>
      <c r="H402" t="s">
        <v>801</v>
      </c>
      <c r="I402">
        <v>120</v>
      </c>
      <c r="J402">
        <v>0</v>
      </c>
      <c r="K402" t="s">
        <v>120</v>
      </c>
      <c r="R402" t="s">
        <v>802</v>
      </c>
      <c r="S402" t="str">
        <f>"31"</f>
        <v>31</v>
      </c>
      <c r="T402" t="s">
        <v>122</v>
      </c>
      <c r="W402" t="s">
        <v>803</v>
      </c>
      <c r="Y402">
        <v>164</v>
      </c>
      <c r="Z402" t="s">
        <v>804</v>
      </c>
      <c r="AB402" t="str">
        <f>"01274390309"</f>
        <v>01274390309</v>
      </c>
      <c r="AC402" t="s">
        <v>116</v>
      </c>
      <c r="AD402" t="s">
        <v>805</v>
      </c>
      <c r="AF402">
        <v>2023</v>
      </c>
      <c r="AG402">
        <v>1</v>
      </c>
      <c r="AH402" t="str">
        <f t="shared" si="41"/>
        <v>1</v>
      </c>
      <c r="AI402" t="s">
        <v>806</v>
      </c>
      <c r="AJ402" s="1">
        <v>44925</v>
      </c>
      <c r="AK402" t="s">
        <v>807</v>
      </c>
      <c r="AL402" s="2">
        <v>21485.06</v>
      </c>
      <c r="AM402" t="str">
        <f>"8772097616"</f>
        <v>8772097616</v>
      </c>
      <c r="AN402">
        <v>2023</v>
      </c>
      <c r="AO402">
        <v>217</v>
      </c>
      <c r="AP402" s="2">
        <v>7781.96</v>
      </c>
      <c r="AQ402">
        <v>0</v>
      </c>
      <c r="AR402" s="2">
        <v>1953.19</v>
      </c>
      <c r="AS402" t="s">
        <v>194</v>
      </c>
      <c r="AT402">
        <v>19531.87</v>
      </c>
      <c r="AU402">
        <v>1953.19</v>
      </c>
      <c r="AV402">
        <v>2023</v>
      </c>
      <c r="AW402">
        <v>81</v>
      </c>
      <c r="AX402">
        <v>670</v>
      </c>
      <c r="AY402">
        <v>0</v>
      </c>
      <c r="AZ402" t="s">
        <v>808</v>
      </c>
      <c r="BA402">
        <v>7781.96</v>
      </c>
      <c r="BB402" s="1">
        <v>44972</v>
      </c>
    </row>
    <row r="403" spans="1:54" x14ac:dyDescent="0.25">
      <c r="A403">
        <v>2023</v>
      </c>
      <c r="B403">
        <v>202</v>
      </c>
      <c r="C403" s="1">
        <v>44972</v>
      </c>
      <c r="D403">
        <v>2023</v>
      </c>
      <c r="E403">
        <v>2022</v>
      </c>
      <c r="F403">
        <v>705</v>
      </c>
      <c r="H403" t="s">
        <v>809</v>
      </c>
      <c r="I403">
        <v>120</v>
      </c>
      <c r="J403">
        <v>0</v>
      </c>
      <c r="K403" t="s">
        <v>120</v>
      </c>
      <c r="R403" t="s">
        <v>810</v>
      </c>
      <c r="S403" t="str">
        <f>"31"</f>
        <v>31</v>
      </c>
      <c r="T403" t="s">
        <v>122</v>
      </c>
      <c r="W403" t="s">
        <v>811</v>
      </c>
      <c r="Y403">
        <v>164</v>
      </c>
      <c r="Z403" t="s">
        <v>804</v>
      </c>
      <c r="AB403" t="str">
        <f>"01274390309"</f>
        <v>01274390309</v>
      </c>
      <c r="AC403" t="s">
        <v>116</v>
      </c>
      <c r="AD403" t="s">
        <v>805</v>
      </c>
      <c r="AF403">
        <v>2023</v>
      </c>
      <c r="AG403">
        <v>1</v>
      </c>
      <c r="AH403" t="str">
        <f t="shared" si="41"/>
        <v>1</v>
      </c>
      <c r="AI403" t="s">
        <v>806</v>
      </c>
      <c r="AJ403" s="1">
        <v>44925</v>
      </c>
      <c r="AK403" t="s">
        <v>807</v>
      </c>
      <c r="AL403" s="2">
        <v>21485.06</v>
      </c>
      <c r="AM403" t="str">
        <f>"8772097616"</f>
        <v>8772097616</v>
      </c>
      <c r="AN403">
        <v>2023</v>
      </c>
      <c r="AO403">
        <v>216</v>
      </c>
      <c r="AP403" s="2">
        <v>6000</v>
      </c>
      <c r="AQ403">
        <v>0</v>
      </c>
      <c r="AR403">
        <v>0</v>
      </c>
      <c r="BA403">
        <v>6000</v>
      </c>
      <c r="BB403" s="1">
        <v>44972</v>
      </c>
    </row>
    <row r="404" spans="1:54" x14ac:dyDescent="0.25">
      <c r="A404">
        <v>2023</v>
      </c>
      <c r="B404">
        <v>203</v>
      </c>
      <c r="C404" s="1">
        <v>44972</v>
      </c>
      <c r="D404">
        <v>2023</v>
      </c>
      <c r="E404">
        <v>2022</v>
      </c>
      <c r="F404">
        <v>570</v>
      </c>
      <c r="H404" t="s">
        <v>812</v>
      </c>
      <c r="I404">
        <v>120</v>
      </c>
      <c r="J404">
        <v>0</v>
      </c>
      <c r="K404" t="s">
        <v>120</v>
      </c>
      <c r="R404" t="s">
        <v>813</v>
      </c>
      <c r="S404" t="str">
        <f>"31"</f>
        <v>31</v>
      </c>
      <c r="T404" t="s">
        <v>122</v>
      </c>
      <c r="W404" t="s">
        <v>814</v>
      </c>
      <c r="Y404">
        <v>164</v>
      </c>
      <c r="Z404" t="s">
        <v>804</v>
      </c>
      <c r="AB404" t="str">
        <f>"01274390309"</f>
        <v>01274390309</v>
      </c>
      <c r="AC404" t="s">
        <v>116</v>
      </c>
      <c r="AD404" t="s">
        <v>805</v>
      </c>
      <c r="AF404">
        <v>2023</v>
      </c>
      <c r="AG404">
        <v>1</v>
      </c>
      <c r="AH404" t="str">
        <f t="shared" si="41"/>
        <v>1</v>
      </c>
      <c r="AI404" t="s">
        <v>806</v>
      </c>
      <c r="AJ404" s="1">
        <v>44925</v>
      </c>
      <c r="AK404" t="s">
        <v>807</v>
      </c>
      <c r="AL404" s="2">
        <v>21485.06</v>
      </c>
      <c r="AM404" t="str">
        <f>"8772097616"</f>
        <v>8772097616</v>
      </c>
      <c r="AN404">
        <v>2023</v>
      </c>
      <c r="AO404">
        <v>215</v>
      </c>
      <c r="AP404" s="2">
        <v>6310.37</v>
      </c>
      <c r="AQ404">
        <v>0</v>
      </c>
      <c r="AR404">
        <v>0</v>
      </c>
      <c r="BA404">
        <v>6310.37</v>
      </c>
      <c r="BB404" s="1">
        <v>44972</v>
      </c>
    </row>
    <row r="405" spans="1:54" x14ac:dyDescent="0.25">
      <c r="A405">
        <v>2023</v>
      </c>
      <c r="B405">
        <v>204</v>
      </c>
      <c r="C405" s="1">
        <v>44972</v>
      </c>
      <c r="D405">
        <v>2023</v>
      </c>
      <c r="E405">
        <v>2022</v>
      </c>
      <c r="F405">
        <v>616</v>
      </c>
      <c r="H405" t="s">
        <v>815</v>
      </c>
      <c r="I405">
        <v>120</v>
      </c>
      <c r="J405">
        <v>0</v>
      </c>
      <c r="K405" t="s">
        <v>120</v>
      </c>
      <c r="R405" t="s">
        <v>816</v>
      </c>
      <c r="S405" t="str">
        <f>"31"</f>
        <v>31</v>
      </c>
      <c r="T405" t="s">
        <v>122</v>
      </c>
      <c r="W405" t="s">
        <v>817</v>
      </c>
      <c r="Y405">
        <v>164</v>
      </c>
      <c r="Z405" t="s">
        <v>804</v>
      </c>
      <c r="AB405" t="str">
        <f>"01274390309"</f>
        <v>01274390309</v>
      </c>
      <c r="AC405" t="s">
        <v>116</v>
      </c>
      <c r="AD405" t="s">
        <v>805</v>
      </c>
      <c r="AF405">
        <v>2023</v>
      </c>
      <c r="AG405">
        <v>1</v>
      </c>
      <c r="AH405" t="str">
        <f t="shared" si="41"/>
        <v>1</v>
      </c>
      <c r="AI405" t="s">
        <v>806</v>
      </c>
      <c r="AJ405" s="1">
        <v>44925</v>
      </c>
      <c r="AK405" t="s">
        <v>807</v>
      </c>
      <c r="AL405" s="2">
        <v>21485.06</v>
      </c>
      <c r="AM405" t="str">
        <f>"8772097616"</f>
        <v>8772097616</v>
      </c>
      <c r="AN405">
        <v>2023</v>
      </c>
      <c r="AO405">
        <v>214</v>
      </c>
      <c r="AP405" s="2">
        <v>1392.73</v>
      </c>
      <c r="AQ405">
        <v>0</v>
      </c>
      <c r="AR405">
        <v>0</v>
      </c>
      <c r="BA405">
        <v>1392.73</v>
      </c>
      <c r="BB405" s="1">
        <v>44972</v>
      </c>
    </row>
    <row r="406" spans="1:54" x14ac:dyDescent="0.25">
      <c r="A406">
        <v>2023</v>
      </c>
      <c r="B406">
        <v>205</v>
      </c>
      <c r="C406" s="1">
        <v>44972</v>
      </c>
      <c r="D406">
        <v>2023</v>
      </c>
      <c r="E406">
        <v>2022</v>
      </c>
      <c r="F406">
        <v>662</v>
      </c>
      <c r="H406" t="s">
        <v>818</v>
      </c>
      <c r="I406">
        <v>265</v>
      </c>
      <c r="J406">
        <v>0</v>
      </c>
      <c r="K406" t="s">
        <v>325</v>
      </c>
      <c r="R406" t="s">
        <v>819</v>
      </c>
      <c r="S406" t="str">
        <f>"31"</f>
        <v>31</v>
      </c>
      <c r="T406" t="s">
        <v>122</v>
      </c>
      <c r="W406" t="s">
        <v>820</v>
      </c>
      <c r="Y406">
        <v>1604</v>
      </c>
      <c r="Z406" t="s">
        <v>821</v>
      </c>
      <c r="AB406" t="str">
        <f>"02594070274"</f>
        <v>02594070274</v>
      </c>
      <c r="AC406" t="s">
        <v>116</v>
      </c>
      <c r="AD406" t="s">
        <v>822</v>
      </c>
      <c r="AF406">
        <v>2022</v>
      </c>
      <c r="AG406">
        <v>4013</v>
      </c>
      <c r="AH406" t="str">
        <f t="shared" si="41"/>
        <v>1</v>
      </c>
      <c r="AI406" t="str">
        <f>"382"</f>
        <v>382</v>
      </c>
      <c r="AJ406" s="1">
        <v>44911</v>
      </c>
      <c r="AK406" t="s">
        <v>820</v>
      </c>
      <c r="AL406">
        <v>944.28</v>
      </c>
      <c r="AM406" t="str">
        <f>"8698098068"</f>
        <v>8698098068</v>
      </c>
      <c r="AN406">
        <v>2023</v>
      </c>
      <c r="AO406">
        <v>181</v>
      </c>
      <c r="AP406">
        <v>944.28</v>
      </c>
      <c r="AQ406">
        <v>0</v>
      </c>
      <c r="AR406">
        <v>170.28</v>
      </c>
      <c r="AS406" t="s">
        <v>177</v>
      </c>
      <c r="AT406">
        <v>774</v>
      </c>
      <c r="AU406">
        <v>170.28</v>
      </c>
      <c r="AV406">
        <v>2023</v>
      </c>
      <c r="AW406">
        <v>82</v>
      </c>
      <c r="AX406">
        <v>670</v>
      </c>
      <c r="AY406">
        <v>0</v>
      </c>
      <c r="AZ406" t="s">
        <v>823</v>
      </c>
      <c r="BA406">
        <v>944.28</v>
      </c>
      <c r="BB406" s="1">
        <v>44972</v>
      </c>
    </row>
    <row r="407" spans="1:54" x14ac:dyDescent="0.25">
      <c r="A407">
        <v>2023</v>
      </c>
      <c r="B407">
        <v>206</v>
      </c>
      <c r="C407" s="1">
        <v>44972</v>
      </c>
      <c r="D407">
        <v>2023</v>
      </c>
      <c r="E407">
        <v>2022</v>
      </c>
      <c r="F407">
        <v>638</v>
      </c>
      <c r="H407" t="s">
        <v>824</v>
      </c>
      <c r="I407">
        <v>120</v>
      </c>
      <c r="J407">
        <v>0</v>
      </c>
      <c r="K407" t="s">
        <v>120</v>
      </c>
      <c r="R407" t="s">
        <v>825</v>
      </c>
      <c r="W407" t="s">
        <v>826</v>
      </c>
      <c r="Y407">
        <v>24</v>
      </c>
      <c r="Z407" t="s">
        <v>827</v>
      </c>
      <c r="AB407" t="str">
        <f>"03049840279"</f>
        <v>03049840279</v>
      </c>
      <c r="AC407" t="s">
        <v>116</v>
      </c>
      <c r="AD407" t="s">
        <v>828</v>
      </c>
      <c r="AF407">
        <v>2022</v>
      </c>
      <c r="AG407">
        <v>4018</v>
      </c>
      <c r="AH407" t="str">
        <f t="shared" si="41"/>
        <v>1</v>
      </c>
      <c r="AI407" t="s">
        <v>829</v>
      </c>
      <c r="AJ407" s="1">
        <v>44923</v>
      </c>
      <c r="AK407" t="s">
        <v>826</v>
      </c>
      <c r="AL407">
        <v>107.59</v>
      </c>
      <c r="AM407" t="str">
        <f>"8732577835"</f>
        <v>8732577835</v>
      </c>
      <c r="AN407">
        <v>2023</v>
      </c>
      <c r="AO407">
        <v>176</v>
      </c>
      <c r="AP407">
        <v>107.59</v>
      </c>
      <c r="AQ407">
        <v>0</v>
      </c>
      <c r="AR407">
        <v>23.13</v>
      </c>
      <c r="AS407" t="s">
        <v>177</v>
      </c>
      <c r="AT407">
        <v>88.19</v>
      </c>
      <c r="AU407">
        <v>19.399999999999999</v>
      </c>
      <c r="AV407">
        <v>2023</v>
      </c>
      <c r="AW407">
        <v>83</v>
      </c>
      <c r="AX407">
        <v>670</v>
      </c>
      <c r="AY407">
        <v>0</v>
      </c>
      <c r="AZ407" t="s">
        <v>830</v>
      </c>
      <c r="BA407">
        <v>107.59</v>
      </c>
      <c r="BB407" s="1">
        <v>44972</v>
      </c>
    </row>
    <row r="408" spans="1:54" x14ac:dyDescent="0.25">
      <c r="A408">
        <v>2023</v>
      </c>
      <c r="B408">
        <v>206</v>
      </c>
      <c r="C408" s="1">
        <v>44972</v>
      </c>
      <c r="D408">
        <v>2023</v>
      </c>
      <c r="E408">
        <v>2022</v>
      </c>
      <c r="F408">
        <v>638</v>
      </c>
      <c r="H408" t="s">
        <v>824</v>
      </c>
      <c r="I408">
        <v>120</v>
      </c>
      <c r="J408">
        <v>0</v>
      </c>
      <c r="K408" t="s">
        <v>120</v>
      </c>
      <c r="R408" t="s">
        <v>825</v>
      </c>
      <c r="W408" t="s">
        <v>826</v>
      </c>
      <c r="Y408">
        <v>24</v>
      </c>
      <c r="Z408" t="s">
        <v>827</v>
      </c>
      <c r="AB408" t="str">
        <f>"03049840279"</f>
        <v>03049840279</v>
      </c>
      <c r="AC408" t="s">
        <v>116</v>
      </c>
      <c r="AD408" t="s">
        <v>828</v>
      </c>
      <c r="AF408">
        <v>2023</v>
      </c>
      <c r="AG408">
        <v>298</v>
      </c>
      <c r="AH408" t="str">
        <f t="shared" si="41"/>
        <v>1</v>
      </c>
      <c r="AI408" t="s">
        <v>831</v>
      </c>
      <c r="AJ408" s="1">
        <v>44953</v>
      </c>
      <c r="AK408" t="s">
        <v>826</v>
      </c>
      <c r="AL408">
        <v>20.67</v>
      </c>
      <c r="AM408" t="str">
        <f>"8916307609"</f>
        <v>8916307609</v>
      </c>
      <c r="AN408">
        <v>2023</v>
      </c>
      <c r="AO408">
        <v>176</v>
      </c>
      <c r="AP408">
        <v>20.67</v>
      </c>
      <c r="AQ408">
        <v>0</v>
      </c>
      <c r="AR408">
        <v>23.13</v>
      </c>
      <c r="AS408" t="s">
        <v>177</v>
      </c>
      <c r="AT408">
        <v>16.940000000000001</v>
      </c>
      <c r="AU408">
        <v>3.73</v>
      </c>
      <c r="AV408">
        <v>2023</v>
      </c>
      <c r="AW408">
        <v>83</v>
      </c>
      <c r="AX408">
        <v>670</v>
      </c>
      <c r="AY408">
        <v>0</v>
      </c>
      <c r="AZ408" t="s">
        <v>830</v>
      </c>
      <c r="BA408">
        <v>20.67</v>
      </c>
      <c r="BB408" s="1">
        <v>44972</v>
      </c>
    </row>
    <row r="409" spans="1:54" x14ac:dyDescent="0.25">
      <c r="A409">
        <v>2023</v>
      </c>
      <c r="B409">
        <v>207</v>
      </c>
      <c r="C409" s="1">
        <v>44972</v>
      </c>
      <c r="D409">
        <v>2023</v>
      </c>
      <c r="E409">
        <v>2022</v>
      </c>
      <c r="F409">
        <v>478</v>
      </c>
      <c r="H409" t="s">
        <v>832</v>
      </c>
      <c r="I409">
        <v>120</v>
      </c>
      <c r="J409">
        <v>0</v>
      </c>
      <c r="K409" t="s">
        <v>120</v>
      </c>
      <c r="R409" t="s">
        <v>833</v>
      </c>
      <c r="S409" t="str">
        <f>"31"</f>
        <v>31</v>
      </c>
      <c r="T409" t="s">
        <v>122</v>
      </c>
      <c r="W409" t="s">
        <v>834</v>
      </c>
      <c r="Y409">
        <v>32</v>
      </c>
      <c r="Z409" t="s">
        <v>835</v>
      </c>
      <c r="AB409" t="str">
        <f>"02243850274"</f>
        <v>02243850274</v>
      </c>
      <c r="AC409" t="s">
        <v>116</v>
      </c>
      <c r="AD409" t="s">
        <v>836</v>
      </c>
      <c r="AF409">
        <v>2022</v>
      </c>
      <c r="AG409">
        <v>3706</v>
      </c>
      <c r="AH409" t="str">
        <f t="shared" si="41"/>
        <v>1</v>
      </c>
      <c r="AI409" t="str">
        <f>"2022212000238"</f>
        <v>2022212000238</v>
      </c>
      <c r="AJ409" s="1">
        <v>44895</v>
      </c>
      <c r="AK409" t="s">
        <v>837</v>
      </c>
      <c r="AL409">
        <v>421.8</v>
      </c>
      <c r="AM409" t="str">
        <f>"8550290681"</f>
        <v>8550290681</v>
      </c>
      <c r="AN409">
        <v>2023</v>
      </c>
      <c r="AO409">
        <v>165</v>
      </c>
      <c r="AP409">
        <v>266.29000000000002</v>
      </c>
      <c r="AQ409">
        <v>0</v>
      </c>
      <c r="AR409">
        <v>76.06</v>
      </c>
      <c r="AS409" t="s">
        <v>177</v>
      </c>
      <c r="AT409">
        <v>345.74</v>
      </c>
      <c r="AU409">
        <v>76.06</v>
      </c>
      <c r="AV409">
        <v>2023</v>
      </c>
      <c r="AW409">
        <v>84</v>
      </c>
      <c r="AX409">
        <v>670</v>
      </c>
      <c r="AY409">
        <v>0</v>
      </c>
      <c r="AZ409" t="s">
        <v>838</v>
      </c>
      <c r="BA409">
        <v>266.29000000000002</v>
      </c>
      <c r="BB409" s="1">
        <v>44972</v>
      </c>
    </row>
    <row r="410" spans="1:54" x14ac:dyDescent="0.25">
      <c r="A410">
        <v>2023</v>
      </c>
      <c r="B410">
        <v>208</v>
      </c>
      <c r="C410" s="1">
        <v>44972</v>
      </c>
      <c r="D410">
        <v>2023</v>
      </c>
      <c r="E410">
        <v>2023</v>
      </c>
      <c r="F410">
        <v>54</v>
      </c>
      <c r="H410" t="s">
        <v>839</v>
      </c>
      <c r="I410">
        <v>120</v>
      </c>
      <c r="J410">
        <v>0</v>
      </c>
      <c r="K410" t="s">
        <v>120</v>
      </c>
      <c r="R410" t="s">
        <v>840</v>
      </c>
      <c r="S410" t="str">
        <f>"31"</f>
        <v>31</v>
      </c>
      <c r="T410" t="s">
        <v>122</v>
      </c>
      <c r="W410" t="s">
        <v>841</v>
      </c>
      <c r="Y410">
        <v>32</v>
      </c>
      <c r="Z410" t="s">
        <v>835</v>
      </c>
      <c r="AB410" t="str">
        <f>"02243850274"</f>
        <v>02243850274</v>
      </c>
      <c r="AC410" t="s">
        <v>116</v>
      </c>
      <c r="AD410" t="s">
        <v>836</v>
      </c>
      <c r="AF410">
        <v>2022</v>
      </c>
      <c r="AG410">
        <v>3706</v>
      </c>
      <c r="AH410" t="str">
        <f t="shared" si="41"/>
        <v>1</v>
      </c>
      <c r="AI410" t="str">
        <f>"2022212000238"</f>
        <v>2022212000238</v>
      </c>
      <c r="AJ410" s="1">
        <v>44895</v>
      </c>
      <c r="AK410" t="s">
        <v>837</v>
      </c>
      <c r="AL410">
        <v>421.8</v>
      </c>
      <c r="AM410" t="str">
        <f>"8550290681"</f>
        <v>8550290681</v>
      </c>
      <c r="AN410">
        <v>2023</v>
      </c>
      <c r="AO410">
        <v>169</v>
      </c>
      <c r="AP410">
        <v>155.51</v>
      </c>
      <c r="AQ410">
        <v>0</v>
      </c>
      <c r="AR410">
        <v>0</v>
      </c>
      <c r="BA410">
        <v>155.51</v>
      </c>
      <c r="BB410" s="1">
        <v>44972</v>
      </c>
    </row>
    <row r="411" spans="1:54" x14ac:dyDescent="0.25">
      <c r="A411">
        <v>2023</v>
      </c>
      <c r="B411">
        <v>209</v>
      </c>
      <c r="C411" s="1">
        <v>44972</v>
      </c>
      <c r="D411">
        <v>2023</v>
      </c>
      <c r="E411">
        <v>2022</v>
      </c>
      <c r="F411">
        <v>346</v>
      </c>
      <c r="H411" t="s">
        <v>842</v>
      </c>
      <c r="I411">
        <v>120</v>
      </c>
      <c r="J411">
        <v>0</v>
      </c>
      <c r="K411" t="s">
        <v>120</v>
      </c>
      <c r="R411" t="s">
        <v>843</v>
      </c>
      <c r="W411" t="s">
        <v>844</v>
      </c>
      <c r="Y411">
        <v>257</v>
      </c>
      <c r="Z411" t="s">
        <v>845</v>
      </c>
      <c r="AB411" t="str">
        <f>"02046550279"</f>
        <v>02046550279</v>
      </c>
      <c r="AC411" t="s">
        <v>116</v>
      </c>
      <c r="AD411" t="s">
        <v>846</v>
      </c>
      <c r="AF411">
        <v>2022</v>
      </c>
      <c r="AG411">
        <v>3686</v>
      </c>
      <c r="AH411" t="str">
        <f t="shared" si="41"/>
        <v>1</v>
      </c>
      <c r="AI411" t="s">
        <v>847</v>
      </c>
      <c r="AJ411" s="1">
        <v>44893</v>
      </c>
      <c r="AK411" t="s">
        <v>844</v>
      </c>
      <c r="AL411">
        <v>108.01</v>
      </c>
      <c r="AM411" t="str">
        <f>"8546452222"</f>
        <v>8546452222</v>
      </c>
      <c r="AN411">
        <v>2023</v>
      </c>
      <c r="AO411">
        <v>14</v>
      </c>
      <c r="AP411">
        <v>108.01</v>
      </c>
      <c r="AQ411">
        <v>0</v>
      </c>
      <c r="AR411">
        <v>32.11</v>
      </c>
      <c r="AS411" t="s">
        <v>177</v>
      </c>
      <c r="AT411">
        <v>88.53</v>
      </c>
      <c r="AU411">
        <v>19.48</v>
      </c>
      <c r="AV411">
        <v>2023</v>
      </c>
      <c r="AW411">
        <v>85</v>
      </c>
      <c r="AX411">
        <v>670</v>
      </c>
      <c r="AY411">
        <v>0</v>
      </c>
      <c r="AZ411" t="s">
        <v>848</v>
      </c>
      <c r="BA411">
        <v>108.01</v>
      </c>
      <c r="BB411" s="1">
        <v>44972</v>
      </c>
    </row>
    <row r="412" spans="1:54" x14ac:dyDescent="0.25">
      <c r="A412">
        <v>2023</v>
      </c>
      <c r="B412">
        <v>209</v>
      </c>
      <c r="C412" s="1">
        <v>44972</v>
      </c>
      <c r="D412">
        <v>2023</v>
      </c>
      <c r="E412">
        <v>2022</v>
      </c>
      <c r="F412">
        <v>346</v>
      </c>
      <c r="H412" t="s">
        <v>842</v>
      </c>
      <c r="I412">
        <v>120</v>
      </c>
      <c r="J412">
        <v>0</v>
      </c>
      <c r="K412" t="s">
        <v>120</v>
      </c>
      <c r="R412" t="s">
        <v>843</v>
      </c>
      <c r="W412" t="s">
        <v>844</v>
      </c>
      <c r="Y412">
        <v>257</v>
      </c>
      <c r="Z412" t="s">
        <v>845</v>
      </c>
      <c r="AB412" t="str">
        <f>"02046550279"</f>
        <v>02046550279</v>
      </c>
      <c r="AC412" t="s">
        <v>116</v>
      </c>
      <c r="AD412" t="s">
        <v>846</v>
      </c>
      <c r="AF412">
        <v>2022</v>
      </c>
      <c r="AG412">
        <v>4038</v>
      </c>
      <c r="AH412" t="str">
        <f t="shared" si="41"/>
        <v>1</v>
      </c>
      <c r="AI412" t="s">
        <v>849</v>
      </c>
      <c r="AJ412" s="1">
        <v>44924</v>
      </c>
      <c r="AK412" t="s">
        <v>844</v>
      </c>
      <c r="AL412">
        <v>70.03</v>
      </c>
      <c r="AM412" t="str">
        <f>"8745003777"</f>
        <v>8745003777</v>
      </c>
      <c r="AN412">
        <v>2023</v>
      </c>
      <c r="AO412">
        <v>14</v>
      </c>
      <c r="AP412">
        <v>70.03</v>
      </c>
      <c r="AQ412">
        <v>0</v>
      </c>
      <c r="AR412">
        <v>32.11</v>
      </c>
      <c r="AS412" t="s">
        <v>177</v>
      </c>
      <c r="AT412">
        <v>57.4</v>
      </c>
      <c r="AU412">
        <v>12.63</v>
      </c>
      <c r="AV412">
        <v>2023</v>
      </c>
      <c r="AW412">
        <v>85</v>
      </c>
      <c r="AX412">
        <v>670</v>
      </c>
      <c r="AY412">
        <v>0</v>
      </c>
      <c r="AZ412" t="s">
        <v>848</v>
      </c>
      <c r="BA412">
        <v>70.03</v>
      </c>
      <c r="BB412" s="1">
        <v>44972</v>
      </c>
    </row>
    <row r="413" spans="1:54" x14ac:dyDescent="0.25">
      <c r="A413">
        <v>2023</v>
      </c>
      <c r="B413">
        <v>210</v>
      </c>
      <c r="C413" s="1">
        <v>44978</v>
      </c>
      <c r="D413">
        <v>2023</v>
      </c>
      <c r="E413">
        <v>2022</v>
      </c>
      <c r="F413">
        <v>720</v>
      </c>
      <c r="H413" t="s">
        <v>200</v>
      </c>
      <c r="I413">
        <v>130</v>
      </c>
      <c r="J413">
        <v>0</v>
      </c>
      <c r="K413" t="s">
        <v>128</v>
      </c>
      <c r="R413" t="s">
        <v>190</v>
      </c>
      <c r="S413" t="str">
        <f t="shared" ref="S413:S444" si="42">"31"</f>
        <v>31</v>
      </c>
      <c r="T413" t="s">
        <v>122</v>
      </c>
      <c r="W413" t="s">
        <v>850</v>
      </c>
      <c r="Y413">
        <v>3344</v>
      </c>
      <c r="Z413" t="s">
        <v>192</v>
      </c>
      <c r="AB413" t="str">
        <f t="shared" ref="AB413:AB444" si="43">"02616630022"</f>
        <v>02616630022</v>
      </c>
      <c r="AC413" t="s">
        <v>116</v>
      </c>
      <c r="AD413" t="s">
        <v>193</v>
      </c>
      <c r="AF413">
        <v>2023</v>
      </c>
      <c r="AG413">
        <v>107</v>
      </c>
      <c r="AH413" t="str">
        <f t="shared" si="41"/>
        <v>1</v>
      </c>
      <c r="AI413" t="str">
        <f>"5230005582"</f>
        <v>5230005582</v>
      </c>
      <c r="AJ413" s="1">
        <v>44944</v>
      </c>
      <c r="AL413">
        <v>957.37</v>
      </c>
      <c r="AM413" t="str">
        <f>"8868737206"</f>
        <v>8868737206</v>
      </c>
      <c r="AN413">
        <v>2023</v>
      </c>
      <c r="AO413">
        <v>225</v>
      </c>
      <c r="AP413">
        <v>957.37</v>
      </c>
      <c r="AQ413">
        <v>0</v>
      </c>
      <c r="AR413" s="2">
        <v>2833.55</v>
      </c>
      <c r="AS413" t="s">
        <v>194</v>
      </c>
      <c r="AT413">
        <v>870.34</v>
      </c>
      <c r="AU413">
        <v>87.03</v>
      </c>
      <c r="AV413">
        <v>2023</v>
      </c>
      <c r="AW413">
        <v>86</v>
      </c>
      <c r="AX413">
        <v>670</v>
      </c>
      <c r="AY413">
        <v>0</v>
      </c>
      <c r="AZ413" t="s">
        <v>851</v>
      </c>
      <c r="BA413">
        <v>957.37</v>
      </c>
      <c r="BB413" s="1">
        <v>44978</v>
      </c>
    </row>
    <row r="414" spans="1:54" x14ac:dyDescent="0.25">
      <c r="A414">
        <v>2023</v>
      </c>
      <c r="B414">
        <v>210</v>
      </c>
      <c r="C414" s="1">
        <v>44978</v>
      </c>
      <c r="D414">
        <v>2023</v>
      </c>
      <c r="E414">
        <v>2022</v>
      </c>
      <c r="F414">
        <v>720</v>
      </c>
      <c r="H414" t="s">
        <v>200</v>
      </c>
      <c r="I414">
        <v>130</v>
      </c>
      <c r="J414">
        <v>0</v>
      </c>
      <c r="K414" t="s">
        <v>128</v>
      </c>
      <c r="R414" t="s">
        <v>190</v>
      </c>
      <c r="S414" t="str">
        <f t="shared" si="42"/>
        <v>31</v>
      </c>
      <c r="T414" t="s">
        <v>122</v>
      </c>
      <c r="W414" t="s">
        <v>850</v>
      </c>
      <c r="Y414">
        <v>3344</v>
      </c>
      <c r="Z414" t="s">
        <v>192</v>
      </c>
      <c r="AB414" t="str">
        <f t="shared" si="43"/>
        <v>02616630022</v>
      </c>
      <c r="AC414" t="s">
        <v>116</v>
      </c>
      <c r="AD414" t="s">
        <v>193</v>
      </c>
      <c r="AF414">
        <v>2023</v>
      </c>
      <c r="AG414">
        <v>114</v>
      </c>
      <c r="AH414" t="str">
        <f t="shared" si="41"/>
        <v>1</v>
      </c>
      <c r="AI414" t="str">
        <f>"5230005544"</f>
        <v>5230005544</v>
      </c>
      <c r="AJ414" s="1">
        <v>44944</v>
      </c>
      <c r="AL414" s="2">
        <v>3813.26</v>
      </c>
      <c r="AM414" t="str">
        <f>"8868723139"</f>
        <v>8868723139</v>
      </c>
      <c r="AN414">
        <v>2023</v>
      </c>
      <c r="AO414">
        <v>225</v>
      </c>
      <c r="AP414" s="2">
        <v>3813.26</v>
      </c>
      <c r="AQ414">
        <v>0</v>
      </c>
      <c r="AR414" s="2">
        <v>2833.55</v>
      </c>
      <c r="AS414" t="s">
        <v>194</v>
      </c>
      <c r="AT414">
        <v>3466.6</v>
      </c>
      <c r="AU414">
        <v>346.66</v>
      </c>
      <c r="AV414">
        <v>2023</v>
      </c>
      <c r="AW414">
        <v>86</v>
      </c>
      <c r="AX414">
        <v>670</v>
      </c>
      <c r="AY414">
        <v>0</v>
      </c>
      <c r="AZ414" t="s">
        <v>851</v>
      </c>
      <c r="BA414">
        <v>3813.26</v>
      </c>
      <c r="BB414" s="1">
        <v>44978</v>
      </c>
    </row>
    <row r="415" spans="1:54" x14ac:dyDescent="0.25">
      <c r="A415">
        <v>2023</v>
      </c>
      <c r="B415">
        <v>210</v>
      </c>
      <c r="C415" s="1">
        <v>44978</v>
      </c>
      <c r="D415">
        <v>2023</v>
      </c>
      <c r="E415">
        <v>2022</v>
      </c>
      <c r="F415">
        <v>720</v>
      </c>
      <c r="H415" t="s">
        <v>200</v>
      </c>
      <c r="I415">
        <v>130</v>
      </c>
      <c r="J415">
        <v>0</v>
      </c>
      <c r="K415" t="s">
        <v>128</v>
      </c>
      <c r="R415" t="s">
        <v>190</v>
      </c>
      <c r="S415" t="str">
        <f t="shared" si="42"/>
        <v>31</v>
      </c>
      <c r="T415" t="s">
        <v>122</v>
      </c>
      <c r="W415" t="s">
        <v>850</v>
      </c>
      <c r="Y415">
        <v>3344</v>
      </c>
      <c r="Z415" t="s">
        <v>192</v>
      </c>
      <c r="AB415" t="str">
        <f t="shared" si="43"/>
        <v>02616630022</v>
      </c>
      <c r="AC415" t="s">
        <v>116</v>
      </c>
      <c r="AD415" t="s">
        <v>193</v>
      </c>
      <c r="AF415">
        <v>2023</v>
      </c>
      <c r="AG415">
        <v>115</v>
      </c>
      <c r="AH415" t="str">
        <f t="shared" si="41"/>
        <v>1</v>
      </c>
      <c r="AI415" t="str">
        <f>"5230005584"</f>
        <v>5230005584</v>
      </c>
      <c r="AJ415" s="1">
        <v>44944</v>
      </c>
      <c r="AL415" s="2">
        <v>1156.24</v>
      </c>
      <c r="AM415" t="str">
        <f>"8868725408"</f>
        <v>8868725408</v>
      </c>
      <c r="AN415">
        <v>2023</v>
      </c>
      <c r="AO415">
        <v>225</v>
      </c>
      <c r="AP415" s="2">
        <v>1156.24</v>
      </c>
      <c r="AQ415">
        <v>0</v>
      </c>
      <c r="AR415" s="2">
        <v>2833.55</v>
      </c>
      <c r="AS415" t="s">
        <v>194</v>
      </c>
      <c r="AT415">
        <v>1051.1300000000001</v>
      </c>
      <c r="AU415">
        <v>105.11</v>
      </c>
      <c r="AV415">
        <v>2023</v>
      </c>
      <c r="AW415">
        <v>86</v>
      </c>
      <c r="AX415">
        <v>670</v>
      </c>
      <c r="AY415">
        <v>0</v>
      </c>
      <c r="AZ415" t="s">
        <v>851</v>
      </c>
      <c r="BA415">
        <v>1156.24</v>
      </c>
      <c r="BB415" s="1">
        <v>44978</v>
      </c>
    </row>
    <row r="416" spans="1:54" x14ac:dyDescent="0.25">
      <c r="A416">
        <v>2023</v>
      </c>
      <c r="B416">
        <v>210</v>
      </c>
      <c r="C416" s="1">
        <v>44978</v>
      </c>
      <c r="D416">
        <v>2023</v>
      </c>
      <c r="E416">
        <v>2022</v>
      </c>
      <c r="F416">
        <v>720</v>
      </c>
      <c r="H416" t="s">
        <v>200</v>
      </c>
      <c r="I416">
        <v>130</v>
      </c>
      <c r="J416">
        <v>0</v>
      </c>
      <c r="K416" t="s">
        <v>128</v>
      </c>
      <c r="R416" t="s">
        <v>190</v>
      </c>
      <c r="S416" t="str">
        <f t="shared" si="42"/>
        <v>31</v>
      </c>
      <c r="T416" t="s">
        <v>122</v>
      </c>
      <c r="W416" t="s">
        <v>850</v>
      </c>
      <c r="Y416">
        <v>3344</v>
      </c>
      <c r="Z416" t="s">
        <v>192</v>
      </c>
      <c r="AB416" t="str">
        <f t="shared" si="43"/>
        <v>02616630022</v>
      </c>
      <c r="AC416" t="s">
        <v>116</v>
      </c>
      <c r="AD416" t="s">
        <v>193</v>
      </c>
      <c r="AF416">
        <v>2023</v>
      </c>
      <c r="AG416">
        <v>121</v>
      </c>
      <c r="AH416" t="str">
        <f t="shared" si="41"/>
        <v>1</v>
      </c>
      <c r="AI416" t="str">
        <f>"5230005555"</f>
        <v>5230005555</v>
      </c>
      <c r="AJ416" s="1">
        <v>44944</v>
      </c>
      <c r="AL416" s="2">
        <v>4060.66</v>
      </c>
      <c r="AM416" t="str">
        <f>"8868723433"</f>
        <v>8868723433</v>
      </c>
      <c r="AN416">
        <v>2023</v>
      </c>
      <c r="AO416">
        <v>225</v>
      </c>
      <c r="AP416" s="2">
        <v>4060.66</v>
      </c>
      <c r="AQ416">
        <v>0</v>
      </c>
      <c r="AR416" s="2">
        <v>2833.55</v>
      </c>
      <c r="AS416" t="s">
        <v>194</v>
      </c>
      <c r="AT416">
        <v>3691.51</v>
      </c>
      <c r="AU416">
        <v>369.15</v>
      </c>
      <c r="AV416">
        <v>2023</v>
      </c>
      <c r="AW416">
        <v>86</v>
      </c>
      <c r="AX416">
        <v>670</v>
      </c>
      <c r="AY416">
        <v>0</v>
      </c>
      <c r="AZ416" t="s">
        <v>851</v>
      </c>
      <c r="BA416">
        <v>4060.66</v>
      </c>
      <c r="BB416" s="1">
        <v>44978</v>
      </c>
    </row>
    <row r="417" spans="1:54" x14ac:dyDescent="0.25">
      <c r="A417">
        <v>2023</v>
      </c>
      <c r="B417">
        <v>210</v>
      </c>
      <c r="C417" s="1">
        <v>44978</v>
      </c>
      <c r="D417">
        <v>2023</v>
      </c>
      <c r="E417">
        <v>2022</v>
      </c>
      <c r="F417">
        <v>720</v>
      </c>
      <c r="H417" t="s">
        <v>200</v>
      </c>
      <c r="I417">
        <v>130</v>
      </c>
      <c r="J417">
        <v>0</v>
      </c>
      <c r="K417" t="s">
        <v>128</v>
      </c>
      <c r="R417" t="s">
        <v>190</v>
      </c>
      <c r="S417" t="str">
        <f t="shared" si="42"/>
        <v>31</v>
      </c>
      <c r="T417" t="s">
        <v>122</v>
      </c>
      <c r="W417" t="s">
        <v>850</v>
      </c>
      <c r="Y417">
        <v>3344</v>
      </c>
      <c r="Z417" t="s">
        <v>192</v>
      </c>
      <c r="AB417" t="str">
        <f t="shared" si="43"/>
        <v>02616630022</v>
      </c>
      <c r="AC417" t="s">
        <v>116</v>
      </c>
      <c r="AD417" t="s">
        <v>193</v>
      </c>
      <c r="AF417">
        <v>2023</v>
      </c>
      <c r="AG417">
        <v>125</v>
      </c>
      <c r="AH417" t="str">
        <f t="shared" si="41"/>
        <v>1</v>
      </c>
      <c r="AI417" t="str">
        <f>"5230005570"</f>
        <v>5230005570</v>
      </c>
      <c r="AJ417" s="1">
        <v>44944</v>
      </c>
      <c r="AL417">
        <v>43.38</v>
      </c>
      <c r="AM417" t="str">
        <f>"8868727506"</f>
        <v>8868727506</v>
      </c>
      <c r="AN417">
        <v>2023</v>
      </c>
      <c r="AO417">
        <v>225</v>
      </c>
      <c r="AP417">
        <v>43.38</v>
      </c>
      <c r="AQ417">
        <v>0</v>
      </c>
      <c r="AR417" s="2">
        <v>2833.55</v>
      </c>
      <c r="AS417" t="s">
        <v>177</v>
      </c>
      <c r="AT417">
        <v>35.56</v>
      </c>
      <c r="AU417">
        <v>7.82</v>
      </c>
      <c r="AV417">
        <v>2023</v>
      </c>
      <c r="AW417">
        <v>86</v>
      </c>
      <c r="AX417">
        <v>670</v>
      </c>
      <c r="AY417">
        <v>0</v>
      </c>
      <c r="AZ417" t="s">
        <v>851</v>
      </c>
      <c r="BA417">
        <v>43.38</v>
      </c>
      <c r="BB417" s="1">
        <v>44978</v>
      </c>
    </row>
    <row r="418" spans="1:54" x14ac:dyDescent="0.25">
      <c r="A418">
        <v>2023</v>
      </c>
      <c r="B418">
        <v>210</v>
      </c>
      <c r="C418" s="1">
        <v>44978</v>
      </c>
      <c r="D418">
        <v>2023</v>
      </c>
      <c r="E418">
        <v>2022</v>
      </c>
      <c r="F418">
        <v>720</v>
      </c>
      <c r="H418" t="s">
        <v>200</v>
      </c>
      <c r="I418">
        <v>130</v>
      </c>
      <c r="J418">
        <v>0</v>
      </c>
      <c r="K418" t="s">
        <v>128</v>
      </c>
      <c r="R418" t="s">
        <v>190</v>
      </c>
      <c r="S418" t="str">
        <f t="shared" si="42"/>
        <v>31</v>
      </c>
      <c r="T418" t="s">
        <v>122</v>
      </c>
      <c r="W418" t="s">
        <v>850</v>
      </c>
      <c r="Y418">
        <v>3344</v>
      </c>
      <c r="Z418" t="s">
        <v>192</v>
      </c>
      <c r="AB418" t="str">
        <f t="shared" si="43"/>
        <v>02616630022</v>
      </c>
      <c r="AC418" t="s">
        <v>116</v>
      </c>
      <c r="AD418" t="s">
        <v>193</v>
      </c>
      <c r="AF418">
        <v>2023</v>
      </c>
      <c r="AG418">
        <v>154</v>
      </c>
      <c r="AH418" t="str">
        <f t="shared" si="41"/>
        <v>1</v>
      </c>
      <c r="AI418" t="str">
        <f>"5230005611"</f>
        <v>5230005611</v>
      </c>
      <c r="AJ418" s="1">
        <v>44944</v>
      </c>
      <c r="AL418">
        <v>375.56</v>
      </c>
      <c r="AM418" t="str">
        <f>"8869294921"</f>
        <v>8869294921</v>
      </c>
      <c r="AN418">
        <v>2023</v>
      </c>
      <c r="AO418">
        <v>225</v>
      </c>
      <c r="AP418">
        <v>375.56</v>
      </c>
      <c r="AQ418">
        <v>0</v>
      </c>
      <c r="AR418" s="2">
        <v>2833.55</v>
      </c>
      <c r="AS418" t="s">
        <v>194</v>
      </c>
      <c r="AT418">
        <v>341.42</v>
      </c>
      <c r="AU418">
        <v>34.14</v>
      </c>
      <c r="AV418">
        <v>2023</v>
      </c>
      <c r="AW418">
        <v>86</v>
      </c>
      <c r="AX418">
        <v>670</v>
      </c>
      <c r="AY418">
        <v>0</v>
      </c>
      <c r="AZ418" t="s">
        <v>851</v>
      </c>
      <c r="BA418">
        <v>375.56</v>
      </c>
      <c r="BB418" s="1">
        <v>44978</v>
      </c>
    </row>
    <row r="419" spans="1:54" x14ac:dyDescent="0.25">
      <c r="A419">
        <v>2023</v>
      </c>
      <c r="B419">
        <v>210</v>
      </c>
      <c r="C419" s="1">
        <v>44978</v>
      </c>
      <c r="D419">
        <v>2023</v>
      </c>
      <c r="E419">
        <v>2022</v>
      </c>
      <c r="F419">
        <v>720</v>
      </c>
      <c r="H419" t="s">
        <v>200</v>
      </c>
      <c r="I419">
        <v>130</v>
      </c>
      <c r="J419">
        <v>0</v>
      </c>
      <c r="K419" t="s">
        <v>128</v>
      </c>
      <c r="R419" t="s">
        <v>190</v>
      </c>
      <c r="S419" t="str">
        <f t="shared" si="42"/>
        <v>31</v>
      </c>
      <c r="T419" t="s">
        <v>122</v>
      </c>
      <c r="W419" t="s">
        <v>850</v>
      </c>
      <c r="Y419">
        <v>3344</v>
      </c>
      <c r="Z419" t="s">
        <v>192</v>
      </c>
      <c r="AB419" t="str">
        <f t="shared" si="43"/>
        <v>02616630022</v>
      </c>
      <c r="AC419" t="s">
        <v>116</v>
      </c>
      <c r="AD419" t="s">
        <v>193</v>
      </c>
      <c r="AF419">
        <v>2023</v>
      </c>
      <c r="AG419">
        <v>158</v>
      </c>
      <c r="AH419" t="str">
        <f t="shared" si="41"/>
        <v>1</v>
      </c>
      <c r="AI419" t="str">
        <f>"5230005610"</f>
        <v>5230005610</v>
      </c>
      <c r="AJ419" s="1">
        <v>44944</v>
      </c>
      <c r="AL419">
        <v>389.29</v>
      </c>
      <c r="AM419" t="str">
        <f>"8869317831"</f>
        <v>8869317831</v>
      </c>
      <c r="AN419">
        <v>2023</v>
      </c>
      <c r="AO419">
        <v>225</v>
      </c>
      <c r="AP419">
        <v>389.29</v>
      </c>
      <c r="AQ419">
        <v>0</v>
      </c>
      <c r="AR419" s="2">
        <v>2833.55</v>
      </c>
      <c r="AS419" t="s">
        <v>194</v>
      </c>
      <c r="AT419">
        <v>353.9</v>
      </c>
      <c r="AU419">
        <v>35.39</v>
      </c>
      <c r="AV419">
        <v>2023</v>
      </c>
      <c r="AW419">
        <v>86</v>
      </c>
      <c r="AX419">
        <v>670</v>
      </c>
      <c r="AY419">
        <v>0</v>
      </c>
      <c r="AZ419" t="s">
        <v>851</v>
      </c>
      <c r="BA419">
        <v>389.29</v>
      </c>
      <c r="BB419" s="1">
        <v>44978</v>
      </c>
    </row>
    <row r="420" spans="1:54" x14ac:dyDescent="0.25">
      <c r="A420">
        <v>2023</v>
      </c>
      <c r="B420">
        <v>210</v>
      </c>
      <c r="C420" s="1">
        <v>44978</v>
      </c>
      <c r="D420">
        <v>2023</v>
      </c>
      <c r="E420">
        <v>2022</v>
      </c>
      <c r="F420">
        <v>720</v>
      </c>
      <c r="H420" t="s">
        <v>200</v>
      </c>
      <c r="I420">
        <v>130</v>
      </c>
      <c r="J420">
        <v>0</v>
      </c>
      <c r="K420" t="s">
        <v>128</v>
      </c>
      <c r="R420" t="s">
        <v>190</v>
      </c>
      <c r="S420" t="str">
        <f t="shared" si="42"/>
        <v>31</v>
      </c>
      <c r="T420" t="s">
        <v>122</v>
      </c>
      <c r="W420" t="s">
        <v>850</v>
      </c>
      <c r="Y420">
        <v>3344</v>
      </c>
      <c r="Z420" t="s">
        <v>192</v>
      </c>
      <c r="AB420" t="str">
        <f t="shared" si="43"/>
        <v>02616630022</v>
      </c>
      <c r="AC420" t="s">
        <v>116</v>
      </c>
      <c r="AD420" t="s">
        <v>193</v>
      </c>
      <c r="AF420">
        <v>2023</v>
      </c>
      <c r="AG420">
        <v>186</v>
      </c>
      <c r="AH420" t="str">
        <f t="shared" si="41"/>
        <v>1</v>
      </c>
      <c r="AI420" t="str">
        <f>"5230005556"</f>
        <v>5230005556</v>
      </c>
      <c r="AJ420" s="1">
        <v>44944</v>
      </c>
      <c r="AL420" s="2">
        <v>2285.67</v>
      </c>
      <c r="AM420" t="str">
        <f>"8868727050"</f>
        <v>8868727050</v>
      </c>
      <c r="AN420">
        <v>2023</v>
      </c>
      <c r="AO420">
        <v>225</v>
      </c>
      <c r="AP420" s="2">
        <v>2285.67</v>
      </c>
      <c r="AQ420">
        <v>0</v>
      </c>
      <c r="AR420" s="2">
        <v>2833.55</v>
      </c>
      <c r="AS420" t="s">
        <v>194</v>
      </c>
      <c r="AT420">
        <v>2077.88</v>
      </c>
      <c r="AU420">
        <v>207.79</v>
      </c>
      <c r="AV420">
        <v>2023</v>
      </c>
      <c r="AW420">
        <v>86</v>
      </c>
      <c r="AX420">
        <v>670</v>
      </c>
      <c r="AY420">
        <v>0</v>
      </c>
      <c r="AZ420" t="s">
        <v>851</v>
      </c>
      <c r="BA420">
        <v>2285.67</v>
      </c>
      <c r="BB420" s="1">
        <v>44978</v>
      </c>
    </row>
    <row r="421" spans="1:54" x14ac:dyDescent="0.25">
      <c r="A421">
        <v>2023</v>
      </c>
      <c r="B421">
        <v>210</v>
      </c>
      <c r="C421" s="1">
        <v>44978</v>
      </c>
      <c r="D421">
        <v>2023</v>
      </c>
      <c r="E421">
        <v>2022</v>
      </c>
      <c r="F421">
        <v>720</v>
      </c>
      <c r="H421" t="s">
        <v>200</v>
      </c>
      <c r="I421">
        <v>130</v>
      </c>
      <c r="J421">
        <v>0</v>
      </c>
      <c r="K421" t="s">
        <v>128</v>
      </c>
      <c r="R421" t="s">
        <v>190</v>
      </c>
      <c r="S421" t="str">
        <f t="shared" si="42"/>
        <v>31</v>
      </c>
      <c r="T421" t="s">
        <v>122</v>
      </c>
      <c r="W421" t="s">
        <v>850</v>
      </c>
      <c r="Y421">
        <v>3344</v>
      </c>
      <c r="Z421" t="s">
        <v>192</v>
      </c>
      <c r="AB421" t="str">
        <f t="shared" si="43"/>
        <v>02616630022</v>
      </c>
      <c r="AC421" t="s">
        <v>116</v>
      </c>
      <c r="AD421" t="s">
        <v>193</v>
      </c>
      <c r="AF421">
        <v>2023</v>
      </c>
      <c r="AG421">
        <v>188</v>
      </c>
      <c r="AH421" t="str">
        <f t="shared" si="41"/>
        <v>1</v>
      </c>
      <c r="AI421" t="str">
        <f>"5230005558"</f>
        <v>5230005558</v>
      </c>
      <c r="AJ421" s="1">
        <v>44944</v>
      </c>
      <c r="AL421">
        <v>699.71</v>
      </c>
      <c r="AM421" t="str">
        <f>"8868728453"</f>
        <v>8868728453</v>
      </c>
      <c r="AN421">
        <v>2023</v>
      </c>
      <c r="AO421">
        <v>225</v>
      </c>
      <c r="AP421">
        <v>699.71</v>
      </c>
      <c r="AQ421">
        <v>0</v>
      </c>
      <c r="AR421" s="2">
        <v>2833.55</v>
      </c>
      <c r="AS421" t="s">
        <v>194</v>
      </c>
      <c r="AT421">
        <v>636.1</v>
      </c>
      <c r="AU421">
        <v>63.61</v>
      </c>
      <c r="AV421">
        <v>2023</v>
      </c>
      <c r="AW421">
        <v>86</v>
      </c>
      <c r="AX421">
        <v>670</v>
      </c>
      <c r="AY421">
        <v>0</v>
      </c>
      <c r="AZ421" t="s">
        <v>851</v>
      </c>
      <c r="BA421">
        <v>699.71</v>
      </c>
      <c r="BB421" s="1">
        <v>44978</v>
      </c>
    </row>
    <row r="422" spans="1:54" x14ac:dyDescent="0.25">
      <c r="A422">
        <v>2023</v>
      </c>
      <c r="B422">
        <v>210</v>
      </c>
      <c r="C422" s="1">
        <v>44978</v>
      </c>
      <c r="D422">
        <v>2023</v>
      </c>
      <c r="E422">
        <v>2022</v>
      </c>
      <c r="F422">
        <v>720</v>
      </c>
      <c r="H422" t="s">
        <v>200</v>
      </c>
      <c r="I422">
        <v>130</v>
      </c>
      <c r="J422">
        <v>0</v>
      </c>
      <c r="K422" t="s">
        <v>128</v>
      </c>
      <c r="R422" t="s">
        <v>190</v>
      </c>
      <c r="S422" t="str">
        <f t="shared" si="42"/>
        <v>31</v>
      </c>
      <c r="T422" t="s">
        <v>122</v>
      </c>
      <c r="W422" t="s">
        <v>850</v>
      </c>
      <c r="Y422">
        <v>3344</v>
      </c>
      <c r="Z422" t="s">
        <v>192</v>
      </c>
      <c r="AB422" t="str">
        <f t="shared" si="43"/>
        <v>02616630022</v>
      </c>
      <c r="AC422" t="s">
        <v>116</v>
      </c>
      <c r="AD422" t="s">
        <v>193</v>
      </c>
      <c r="AF422">
        <v>2023</v>
      </c>
      <c r="AG422">
        <v>192</v>
      </c>
      <c r="AH422" t="str">
        <f t="shared" si="41"/>
        <v>1</v>
      </c>
      <c r="AI422" t="str">
        <f>"5230005541"</f>
        <v>5230005541</v>
      </c>
      <c r="AJ422" s="1">
        <v>44944</v>
      </c>
      <c r="AL422" s="2">
        <v>1199.8699999999999</v>
      </c>
      <c r="AM422" t="str">
        <f>"8868722061"</f>
        <v>8868722061</v>
      </c>
      <c r="AN422">
        <v>2023</v>
      </c>
      <c r="AO422">
        <v>225</v>
      </c>
      <c r="AP422" s="2">
        <v>1199.8699999999999</v>
      </c>
      <c r="AQ422">
        <v>0</v>
      </c>
      <c r="AR422" s="2">
        <v>2833.55</v>
      </c>
      <c r="AS422" t="s">
        <v>194</v>
      </c>
      <c r="AT422">
        <v>1090.79</v>
      </c>
      <c r="AU422">
        <v>109.08</v>
      </c>
      <c r="AV422">
        <v>2023</v>
      </c>
      <c r="AW422">
        <v>86</v>
      </c>
      <c r="AX422">
        <v>670</v>
      </c>
      <c r="AY422">
        <v>0</v>
      </c>
      <c r="AZ422" t="s">
        <v>851</v>
      </c>
      <c r="BA422">
        <v>1199.8699999999999</v>
      </c>
      <c r="BB422" s="1">
        <v>44978</v>
      </c>
    </row>
    <row r="423" spans="1:54" x14ac:dyDescent="0.25">
      <c r="A423">
        <v>2023</v>
      </c>
      <c r="B423">
        <v>210</v>
      </c>
      <c r="C423" s="1">
        <v>44978</v>
      </c>
      <c r="D423">
        <v>2023</v>
      </c>
      <c r="E423">
        <v>2022</v>
      </c>
      <c r="F423">
        <v>720</v>
      </c>
      <c r="H423" t="s">
        <v>200</v>
      </c>
      <c r="I423">
        <v>130</v>
      </c>
      <c r="J423">
        <v>0</v>
      </c>
      <c r="K423" t="s">
        <v>128</v>
      </c>
      <c r="R423" t="s">
        <v>190</v>
      </c>
      <c r="S423" t="str">
        <f t="shared" si="42"/>
        <v>31</v>
      </c>
      <c r="T423" t="s">
        <v>122</v>
      </c>
      <c r="W423" t="s">
        <v>850</v>
      </c>
      <c r="Y423">
        <v>3344</v>
      </c>
      <c r="Z423" t="s">
        <v>192</v>
      </c>
      <c r="AB423" t="str">
        <f t="shared" si="43"/>
        <v>02616630022</v>
      </c>
      <c r="AC423" t="s">
        <v>116</v>
      </c>
      <c r="AD423" t="s">
        <v>193</v>
      </c>
      <c r="AF423">
        <v>2023</v>
      </c>
      <c r="AG423">
        <v>194</v>
      </c>
      <c r="AH423" t="str">
        <f t="shared" si="41"/>
        <v>1</v>
      </c>
      <c r="AI423" t="str">
        <f>"5230005581"</f>
        <v>5230005581</v>
      </c>
      <c r="AJ423" s="1">
        <v>44944</v>
      </c>
      <c r="AL423">
        <v>23.58</v>
      </c>
      <c r="AM423" t="str">
        <f>"8868729560"</f>
        <v>8868729560</v>
      </c>
      <c r="AN423">
        <v>2023</v>
      </c>
      <c r="AO423">
        <v>225</v>
      </c>
      <c r="AP423">
        <v>23.58</v>
      </c>
      <c r="AQ423">
        <v>0</v>
      </c>
      <c r="AR423" s="2">
        <v>2833.55</v>
      </c>
      <c r="AS423" t="s">
        <v>194</v>
      </c>
      <c r="AT423">
        <v>21.44</v>
      </c>
      <c r="AU423">
        <v>2.14</v>
      </c>
      <c r="AV423">
        <v>2023</v>
      </c>
      <c r="AW423">
        <v>86</v>
      </c>
      <c r="AX423">
        <v>670</v>
      </c>
      <c r="AY423">
        <v>0</v>
      </c>
      <c r="AZ423" t="s">
        <v>851</v>
      </c>
      <c r="BA423">
        <v>23.58</v>
      </c>
      <c r="BB423" s="1">
        <v>44978</v>
      </c>
    </row>
    <row r="424" spans="1:54" x14ac:dyDescent="0.25">
      <c r="A424">
        <v>2023</v>
      </c>
      <c r="B424">
        <v>210</v>
      </c>
      <c r="C424" s="1">
        <v>44978</v>
      </c>
      <c r="D424">
        <v>2023</v>
      </c>
      <c r="E424">
        <v>2022</v>
      </c>
      <c r="F424">
        <v>720</v>
      </c>
      <c r="H424" t="s">
        <v>200</v>
      </c>
      <c r="I424">
        <v>130</v>
      </c>
      <c r="J424">
        <v>0</v>
      </c>
      <c r="K424" t="s">
        <v>128</v>
      </c>
      <c r="R424" t="s">
        <v>190</v>
      </c>
      <c r="S424" t="str">
        <f t="shared" si="42"/>
        <v>31</v>
      </c>
      <c r="T424" t="s">
        <v>122</v>
      </c>
      <c r="W424" t="s">
        <v>850</v>
      </c>
      <c r="Y424">
        <v>3344</v>
      </c>
      <c r="Z424" t="s">
        <v>192</v>
      </c>
      <c r="AB424" t="str">
        <f t="shared" si="43"/>
        <v>02616630022</v>
      </c>
      <c r="AC424" t="s">
        <v>116</v>
      </c>
      <c r="AD424" t="s">
        <v>193</v>
      </c>
      <c r="AF424">
        <v>2023</v>
      </c>
      <c r="AG424">
        <v>198</v>
      </c>
      <c r="AH424" t="str">
        <f t="shared" si="41"/>
        <v>1</v>
      </c>
      <c r="AI424" t="str">
        <f>"5230005543"</f>
        <v>5230005543</v>
      </c>
      <c r="AJ424" s="1">
        <v>44944</v>
      </c>
      <c r="AL424" s="2">
        <v>9304.7900000000009</v>
      </c>
      <c r="AM424" t="str">
        <f>"8868723968"</f>
        <v>8868723968</v>
      </c>
      <c r="AN424">
        <v>2023</v>
      </c>
      <c r="AO424">
        <v>225</v>
      </c>
      <c r="AP424" s="2">
        <v>9304.7900000000009</v>
      </c>
      <c r="AQ424">
        <v>0</v>
      </c>
      <c r="AR424" s="2">
        <v>2833.55</v>
      </c>
      <c r="AS424" t="s">
        <v>194</v>
      </c>
      <c r="AT424">
        <v>8458.9</v>
      </c>
      <c r="AU424">
        <v>845.89</v>
      </c>
      <c r="AV424">
        <v>2023</v>
      </c>
      <c r="AW424">
        <v>86</v>
      </c>
      <c r="AX424">
        <v>670</v>
      </c>
      <c r="AY424">
        <v>0</v>
      </c>
      <c r="AZ424" t="s">
        <v>851</v>
      </c>
      <c r="BA424">
        <v>9304.7900000000009</v>
      </c>
      <c r="BB424" s="1">
        <v>44978</v>
      </c>
    </row>
    <row r="425" spans="1:54" x14ac:dyDescent="0.25">
      <c r="A425">
        <v>2023</v>
      </c>
      <c r="B425">
        <v>210</v>
      </c>
      <c r="C425" s="1">
        <v>44978</v>
      </c>
      <c r="D425">
        <v>2023</v>
      </c>
      <c r="E425">
        <v>2022</v>
      </c>
      <c r="F425">
        <v>720</v>
      </c>
      <c r="H425" t="s">
        <v>200</v>
      </c>
      <c r="I425">
        <v>130</v>
      </c>
      <c r="J425">
        <v>0</v>
      </c>
      <c r="K425" t="s">
        <v>128</v>
      </c>
      <c r="R425" t="s">
        <v>190</v>
      </c>
      <c r="S425" t="str">
        <f t="shared" si="42"/>
        <v>31</v>
      </c>
      <c r="T425" t="s">
        <v>122</v>
      </c>
      <c r="W425" t="s">
        <v>850</v>
      </c>
      <c r="Y425">
        <v>3344</v>
      </c>
      <c r="Z425" t="s">
        <v>192</v>
      </c>
      <c r="AB425" t="str">
        <f t="shared" si="43"/>
        <v>02616630022</v>
      </c>
      <c r="AC425" t="s">
        <v>116</v>
      </c>
      <c r="AD425" t="s">
        <v>193</v>
      </c>
      <c r="AF425">
        <v>2023</v>
      </c>
      <c r="AG425">
        <v>204</v>
      </c>
      <c r="AH425" t="str">
        <f t="shared" si="41"/>
        <v>1</v>
      </c>
      <c r="AI425" t="str">
        <f>"5230005566"</f>
        <v>5230005566</v>
      </c>
      <c r="AJ425" s="1">
        <v>44944</v>
      </c>
      <c r="AL425" s="2">
        <v>1098.92</v>
      </c>
      <c r="AM425" t="str">
        <f>"8868726182"</f>
        <v>8868726182</v>
      </c>
      <c r="AN425">
        <v>2023</v>
      </c>
      <c r="AO425">
        <v>225</v>
      </c>
      <c r="AP425" s="2">
        <v>1098.92</v>
      </c>
      <c r="AQ425">
        <v>0</v>
      </c>
      <c r="AR425" s="2">
        <v>2833.55</v>
      </c>
      <c r="AS425" t="s">
        <v>194</v>
      </c>
      <c r="AT425">
        <v>999.02</v>
      </c>
      <c r="AU425">
        <v>99.9</v>
      </c>
      <c r="AV425">
        <v>2023</v>
      </c>
      <c r="AW425">
        <v>86</v>
      </c>
      <c r="AX425">
        <v>670</v>
      </c>
      <c r="AY425">
        <v>0</v>
      </c>
      <c r="AZ425" t="s">
        <v>851</v>
      </c>
      <c r="BA425">
        <v>1098.92</v>
      </c>
      <c r="BB425" s="1">
        <v>44978</v>
      </c>
    </row>
    <row r="426" spans="1:54" x14ac:dyDescent="0.25">
      <c r="A426">
        <v>2023</v>
      </c>
      <c r="B426">
        <v>210</v>
      </c>
      <c r="C426" s="1">
        <v>44978</v>
      </c>
      <c r="D426">
        <v>2023</v>
      </c>
      <c r="E426">
        <v>2022</v>
      </c>
      <c r="F426">
        <v>720</v>
      </c>
      <c r="H426" t="s">
        <v>200</v>
      </c>
      <c r="I426">
        <v>130</v>
      </c>
      <c r="J426">
        <v>0</v>
      </c>
      <c r="K426" t="s">
        <v>128</v>
      </c>
      <c r="R426" t="s">
        <v>190</v>
      </c>
      <c r="S426" t="str">
        <f t="shared" si="42"/>
        <v>31</v>
      </c>
      <c r="T426" t="s">
        <v>122</v>
      </c>
      <c r="W426" t="s">
        <v>850</v>
      </c>
      <c r="Y426">
        <v>3344</v>
      </c>
      <c r="Z426" t="s">
        <v>192</v>
      </c>
      <c r="AB426" t="str">
        <f t="shared" si="43"/>
        <v>02616630022</v>
      </c>
      <c r="AC426" t="s">
        <v>116</v>
      </c>
      <c r="AD426" t="s">
        <v>193</v>
      </c>
      <c r="AF426">
        <v>2023</v>
      </c>
      <c r="AG426">
        <v>206</v>
      </c>
      <c r="AH426" t="str">
        <f t="shared" si="41"/>
        <v>1</v>
      </c>
      <c r="AI426" t="str">
        <f>"5230005530"</f>
        <v>5230005530</v>
      </c>
      <c r="AJ426" s="1">
        <v>44944</v>
      </c>
      <c r="AL426" s="2">
        <v>5718.23</v>
      </c>
      <c r="AM426" t="str">
        <f>"8868724276"</f>
        <v>8868724276</v>
      </c>
      <c r="AN426">
        <v>2023</v>
      </c>
      <c r="AO426">
        <v>225</v>
      </c>
      <c r="AP426" s="2">
        <v>5718.23</v>
      </c>
      <c r="AQ426">
        <v>0</v>
      </c>
      <c r="AR426" s="2">
        <v>2833.55</v>
      </c>
      <c r="AS426" t="s">
        <v>194</v>
      </c>
      <c r="AT426">
        <v>5198.3900000000003</v>
      </c>
      <c r="AU426">
        <v>519.84</v>
      </c>
      <c r="AV426">
        <v>2023</v>
      </c>
      <c r="AW426">
        <v>86</v>
      </c>
      <c r="AX426">
        <v>670</v>
      </c>
      <c r="AY426">
        <v>0</v>
      </c>
      <c r="AZ426" t="s">
        <v>851</v>
      </c>
      <c r="BA426">
        <v>5718.23</v>
      </c>
      <c r="BB426" s="1">
        <v>44978</v>
      </c>
    </row>
    <row r="427" spans="1:54" x14ac:dyDescent="0.25">
      <c r="A427">
        <v>2023</v>
      </c>
      <c r="B427">
        <v>211</v>
      </c>
      <c r="C427" s="1">
        <v>44978</v>
      </c>
      <c r="D427">
        <v>2023</v>
      </c>
      <c r="E427">
        <v>2023</v>
      </c>
      <c r="F427">
        <v>14</v>
      </c>
      <c r="H427" t="s">
        <v>852</v>
      </c>
      <c r="I427">
        <v>130</v>
      </c>
      <c r="J427">
        <v>0</v>
      </c>
      <c r="K427" t="s">
        <v>128</v>
      </c>
      <c r="R427" t="s">
        <v>190</v>
      </c>
      <c r="S427" t="str">
        <f t="shared" si="42"/>
        <v>31</v>
      </c>
      <c r="T427" t="s">
        <v>122</v>
      </c>
      <c r="W427" t="s">
        <v>850</v>
      </c>
      <c r="Y427">
        <v>3344</v>
      </c>
      <c r="Z427" t="s">
        <v>192</v>
      </c>
      <c r="AB427" t="str">
        <f t="shared" si="43"/>
        <v>02616630022</v>
      </c>
      <c r="AC427" t="s">
        <v>116</v>
      </c>
      <c r="AD427" t="s">
        <v>193</v>
      </c>
      <c r="AF427">
        <v>2023</v>
      </c>
      <c r="AG427">
        <v>111</v>
      </c>
      <c r="AH427" t="str">
        <f t="shared" si="41"/>
        <v>1</v>
      </c>
      <c r="AI427" t="str">
        <f>"5230005536"</f>
        <v>5230005536</v>
      </c>
      <c r="AJ427" s="1">
        <v>44944</v>
      </c>
      <c r="AL427">
        <v>2.1800000000000002</v>
      </c>
      <c r="AM427" t="str">
        <f>"8868724520"</f>
        <v>8868724520</v>
      </c>
      <c r="AN427">
        <v>2023</v>
      </c>
      <c r="AO427">
        <v>227</v>
      </c>
      <c r="AP427">
        <v>2.1800000000000002</v>
      </c>
      <c r="AQ427">
        <v>0</v>
      </c>
      <c r="AR427">
        <v>170.9</v>
      </c>
      <c r="AS427" t="s">
        <v>194</v>
      </c>
      <c r="AT427">
        <v>1.98</v>
      </c>
      <c r="AU427">
        <v>0.2</v>
      </c>
      <c r="AV427">
        <v>2023</v>
      </c>
      <c r="AW427">
        <v>87</v>
      </c>
      <c r="AX427">
        <v>670</v>
      </c>
      <c r="AY427">
        <v>0</v>
      </c>
      <c r="AZ427" t="s">
        <v>853</v>
      </c>
      <c r="BA427">
        <v>2.1800000000000002</v>
      </c>
      <c r="BB427" s="1">
        <v>44978</v>
      </c>
    </row>
    <row r="428" spans="1:54" x14ac:dyDescent="0.25">
      <c r="A428">
        <v>2023</v>
      </c>
      <c r="B428">
        <v>211</v>
      </c>
      <c r="C428" s="1">
        <v>44978</v>
      </c>
      <c r="D428">
        <v>2023</v>
      </c>
      <c r="E428">
        <v>2023</v>
      </c>
      <c r="F428">
        <v>14</v>
      </c>
      <c r="H428" t="s">
        <v>852</v>
      </c>
      <c r="I428">
        <v>130</v>
      </c>
      <c r="J428">
        <v>0</v>
      </c>
      <c r="K428" t="s">
        <v>128</v>
      </c>
      <c r="R428" t="s">
        <v>190</v>
      </c>
      <c r="S428" t="str">
        <f t="shared" si="42"/>
        <v>31</v>
      </c>
      <c r="T428" t="s">
        <v>122</v>
      </c>
      <c r="W428" t="s">
        <v>850</v>
      </c>
      <c r="Y428">
        <v>3344</v>
      </c>
      <c r="Z428" t="s">
        <v>192</v>
      </c>
      <c r="AB428" t="str">
        <f t="shared" si="43"/>
        <v>02616630022</v>
      </c>
      <c r="AC428" t="s">
        <v>116</v>
      </c>
      <c r="AD428" t="s">
        <v>193</v>
      </c>
      <c r="AF428">
        <v>2023</v>
      </c>
      <c r="AG428">
        <v>116</v>
      </c>
      <c r="AH428" t="str">
        <f t="shared" si="41"/>
        <v>1</v>
      </c>
      <c r="AI428" t="str">
        <f>"5230005567"</f>
        <v>5230005567</v>
      </c>
      <c r="AJ428" s="1">
        <v>44944</v>
      </c>
      <c r="AL428">
        <v>2.1800000000000002</v>
      </c>
      <c r="AM428" t="str">
        <f>"8868725016"</f>
        <v>8868725016</v>
      </c>
      <c r="AN428">
        <v>2023</v>
      </c>
      <c r="AO428">
        <v>227</v>
      </c>
      <c r="AP428">
        <v>2.1800000000000002</v>
      </c>
      <c r="AQ428">
        <v>0</v>
      </c>
      <c r="AR428">
        <v>170.9</v>
      </c>
      <c r="AS428" t="s">
        <v>194</v>
      </c>
      <c r="AT428">
        <v>1.98</v>
      </c>
      <c r="AU428">
        <v>0.2</v>
      </c>
      <c r="AV428">
        <v>2023</v>
      </c>
      <c r="AW428">
        <v>87</v>
      </c>
      <c r="AX428">
        <v>670</v>
      </c>
      <c r="AY428">
        <v>0</v>
      </c>
      <c r="AZ428" t="s">
        <v>853</v>
      </c>
      <c r="BA428">
        <v>2.1800000000000002</v>
      </c>
      <c r="BB428" s="1">
        <v>44978</v>
      </c>
    </row>
    <row r="429" spans="1:54" x14ac:dyDescent="0.25">
      <c r="A429">
        <v>2023</v>
      </c>
      <c r="B429">
        <v>211</v>
      </c>
      <c r="C429" s="1">
        <v>44978</v>
      </c>
      <c r="D429">
        <v>2023</v>
      </c>
      <c r="E429">
        <v>2023</v>
      </c>
      <c r="F429">
        <v>14</v>
      </c>
      <c r="H429" t="s">
        <v>852</v>
      </c>
      <c r="I429">
        <v>130</v>
      </c>
      <c r="J429">
        <v>0</v>
      </c>
      <c r="K429" t="s">
        <v>128</v>
      </c>
      <c r="R429" t="s">
        <v>190</v>
      </c>
      <c r="S429" t="str">
        <f t="shared" si="42"/>
        <v>31</v>
      </c>
      <c r="T429" t="s">
        <v>122</v>
      </c>
      <c r="W429" t="s">
        <v>850</v>
      </c>
      <c r="Y429">
        <v>3344</v>
      </c>
      <c r="Z429" t="s">
        <v>192</v>
      </c>
      <c r="AB429" t="str">
        <f t="shared" si="43"/>
        <v>02616630022</v>
      </c>
      <c r="AC429" t="s">
        <v>116</v>
      </c>
      <c r="AD429" t="s">
        <v>193</v>
      </c>
      <c r="AF429">
        <v>2023</v>
      </c>
      <c r="AG429">
        <v>118</v>
      </c>
      <c r="AH429" t="str">
        <f t="shared" si="41"/>
        <v>1</v>
      </c>
      <c r="AI429" t="str">
        <f>"5230005535"</f>
        <v>5230005535</v>
      </c>
      <c r="AJ429" s="1">
        <v>44944</v>
      </c>
      <c r="AL429">
        <v>2.1800000000000002</v>
      </c>
      <c r="AM429" t="str">
        <f>"8868722629"</f>
        <v>8868722629</v>
      </c>
      <c r="AN429">
        <v>2023</v>
      </c>
      <c r="AO429">
        <v>227</v>
      </c>
      <c r="AP429">
        <v>2.1800000000000002</v>
      </c>
      <c r="AQ429">
        <v>0</v>
      </c>
      <c r="AR429">
        <v>170.9</v>
      </c>
      <c r="AS429" t="s">
        <v>194</v>
      </c>
      <c r="AT429">
        <v>1.98</v>
      </c>
      <c r="AU429">
        <v>0.2</v>
      </c>
      <c r="AV429">
        <v>2023</v>
      </c>
      <c r="AW429">
        <v>87</v>
      </c>
      <c r="AX429">
        <v>670</v>
      </c>
      <c r="AY429">
        <v>0</v>
      </c>
      <c r="AZ429" t="s">
        <v>853</v>
      </c>
      <c r="BA429">
        <v>2.1800000000000002</v>
      </c>
      <c r="BB429" s="1">
        <v>44978</v>
      </c>
    </row>
    <row r="430" spans="1:54" x14ac:dyDescent="0.25">
      <c r="A430">
        <v>2023</v>
      </c>
      <c r="B430">
        <v>211</v>
      </c>
      <c r="C430" s="1">
        <v>44978</v>
      </c>
      <c r="D430">
        <v>2023</v>
      </c>
      <c r="E430">
        <v>2023</v>
      </c>
      <c r="F430">
        <v>14</v>
      </c>
      <c r="H430" t="s">
        <v>852</v>
      </c>
      <c r="I430">
        <v>130</v>
      </c>
      <c r="J430">
        <v>0</v>
      </c>
      <c r="K430" t="s">
        <v>128</v>
      </c>
      <c r="R430" t="s">
        <v>190</v>
      </c>
      <c r="S430" t="str">
        <f t="shared" si="42"/>
        <v>31</v>
      </c>
      <c r="T430" t="s">
        <v>122</v>
      </c>
      <c r="W430" t="s">
        <v>850</v>
      </c>
      <c r="Y430">
        <v>3344</v>
      </c>
      <c r="Z430" t="s">
        <v>192</v>
      </c>
      <c r="AB430" t="str">
        <f t="shared" si="43"/>
        <v>02616630022</v>
      </c>
      <c r="AC430" t="s">
        <v>116</v>
      </c>
      <c r="AD430" t="s">
        <v>193</v>
      </c>
      <c r="AF430">
        <v>2023</v>
      </c>
      <c r="AG430">
        <v>119</v>
      </c>
      <c r="AH430" t="str">
        <f t="shared" si="41"/>
        <v>1</v>
      </c>
      <c r="AI430" t="str">
        <f>"5230005571"</f>
        <v>5230005571</v>
      </c>
      <c r="AJ430" s="1">
        <v>44944</v>
      </c>
      <c r="AL430">
        <v>372.41</v>
      </c>
      <c r="AM430" t="str">
        <f>"8868725223"</f>
        <v>8868725223</v>
      </c>
      <c r="AN430">
        <v>2023</v>
      </c>
      <c r="AO430">
        <v>227</v>
      </c>
      <c r="AP430">
        <v>372.41</v>
      </c>
      <c r="AQ430">
        <v>0</v>
      </c>
      <c r="AR430">
        <v>170.9</v>
      </c>
      <c r="AS430" t="s">
        <v>194</v>
      </c>
      <c r="AT430">
        <v>338.55</v>
      </c>
      <c r="AU430">
        <v>33.86</v>
      </c>
      <c r="AV430">
        <v>2023</v>
      </c>
      <c r="AW430">
        <v>87</v>
      </c>
      <c r="AX430">
        <v>670</v>
      </c>
      <c r="AY430">
        <v>0</v>
      </c>
      <c r="AZ430" t="s">
        <v>853</v>
      </c>
      <c r="BA430">
        <v>372.41</v>
      </c>
      <c r="BB430" s="1">
        <v>44978</v>
      </c>
    </row>
    <row r="431" spans="1:54" x14ac:dyDescent="0.25">
      <c r="A431">
        <v>2023</v>
      </c>
      <c r="B431">
        <v>211</v>
      </c>
      <c r="C431" s="1">
        <v>44978</v>
      </c>
      <c r="D431">
        <v>2023</v>
      </c>
      <c r="E431">
        <v>2023</v>
      </c>
      <c r="F431">
        <v>14</v>
      </c>
      <c r="H431" t="s">
        <v>852</v>
      </c>
      <c r="I431">
        <v>130</v>
      </c>
      <c r="J431">
        <v>0</v>
      </c>
      <c r="K431" t="s">
        <v>128</v>
      </c>
      <c r="R431" t="s">
        <v>190</v>
      </c>
      <c r="S431" t="str">
        <f t="shared" si="42"/>
        <v>31</v>
      </c>
      <c r="T431" t="s">
        <v>122</v>
      </c>
      <c r="W431" t="s">
        <v>850</v>
      </c>
      <c r="Y431">
        <v>3344</v>
      </c>
      <c r="Z431" t="s">
        <v>192</v>
      </c>
      <c r="AB431" t="str">
        <f t="shared" si="43"/>
        <v>02616630022</v>
      </c>
      <c r="AC431" t="s">
        <v>116</v>
      </c>
      <c r="AD431" t="s">
        <v>193</v>
      </c>
      <c r="AF431">
        <v>2023</v>
      </c>
      <c r="AG431">
        <v>120</v>
      </c>
      <c r="AH431" t="str">
        <f t="shared" si="41"/>
        <v>1</v>
      </c>
      <c r="AI431" t="str">
        <f>"5230005552"</f>
        <v>5230005552</v>
      </c>
      <c r="AJ431" s="1">
        <v>44944</v>
      </c>
      <c r="AL431">
        <v>42.69</v>
      </c>
      <c r="AM431" t="str">
        <f>"8868724115"</f>
        <v>8868724115</v>
      </c>
      <c r="AN431">
        <v>2023</v>
      </c>
      <c r="AO431">
        <v>227</v>
      </c>
      <c r="AP431">
        <v>42.69</v>
      </c>
      <c r="AQ431">
        <v>0</v>
      </c>
      <c r="AR431">
        <v>170.9</v>
      </c>
      <c r="AS431" t="s">
        <v>194</v>
      </c>
      <c r="AT431">
        <v>38.81</v>
      </c>
      <c r="AU431">
        <v>3.88</v>
      </c>
      <c r="AV431">
        <v>2023</v>
      </c>
      <c r="AW431">
        <v>87</v>
      </c>
      <c r="AX431">
        <v>670</v>
      </c>
      <c r="AY431">
        <v>0</v>
      </c>
      <c r="AZ431" t="s">
        <v>853</v>
      </c>
      <c r="BA431">
        <v>42.69</v>
      </c>
      <c r="BB431" s="1">
        <v>44978</v>
      </c>
    </row>
    <row r="432" spans="1:54" x14ac:dyDescent="0.25">
      <c r="A432">
        <v>2023</v>
      </c>
      <c r="B432">
        <v>211</v>
      </c>
      <c r="C432" s="1">
        <v>44978</v>
      </c>
      <c r="D432">
        <v>2023</v>
      </c>
      <c r="E432">
        <v>2023</v>
      </c>
      <c r="F432">
        <v>14</v>
      </c>
      <c r="H432" t="s">
        <v>852</v>
      </c>
      <c r="I432">
        <v>130</v>
      </c>
      <c r="J432">
        <v>0</v>
      </c>
      <c r="K432" t="s">
        <v>128</v>
      </c>
      <c r="R432" t="s">
        <v>190</v>
      </c>
      <c r="S432" t="str">
        <f t="shared" si="42"/>
        <v>31</v>
      </c>
      <c r="T432" t="s">
        <v>122</v>
      </c>
      <c r="W432" t="s">
        <v>850</v>
      </c>
      <c r="Y432">
        <v>3344</v>
      </c>
      <c r="Z432" t="s">
        <v>192</v>
      </c>
      <c r="AB432" t="str">
        <f t="shared" si="43"/>
        <v>02616630022</v>
      </c>
      <c r="AC432" t="s">
        <v>116</v>
      </c>
      <c r="AD432" t="s">
        <v>193</v>
      </c>
      <c r="AF432">
        <v>2023</v>
      </c>
      <c r="AG432">
        <v>123</v>
      </c>
      <c r="AH432" t="str">
        <f t="shared" si="41"/>
        <v>1</v>
      </c>
      <c r="AI432" t="str">
        <f>"5230005575"</f>
        <v>5230005575</v>
      </c>
      <c r="AJ432" s="1">
        <v>44944</v>
      </c>
      <c r="AL432">
        <v>2.4300000000000002</v>
      </c>
      <c r="AM432" t="str">
        <f>"8868727935"</f>
        <v>8868727935</v>
      </c>
      <c r="AN432">
        <v>2023</v>
      </c>
      <c r="AO432">
        <v>227</v>
      </c>
      <c r="AP432">
        <v>2.4300000000000002</v>
      </c>
      <c r="AQ432">
        <v>0</v>
      </c>
      <c r="AR432">
        <v>170.9</v>
      </c>
      <c r="AS432" t="s">
        <v>194</v>
      </c>
      <c r="AT432">
        <v>2.21</v>
      </c>
      <c r="AU432">
        <v>0.22</v>
      </c>
      <c r="AV432">
        <v>2023</v>
      </c>
      <c r="AW432">
        <v>87</v>
      </c>
      <c r="AX432">
        <v>670</v>
      </c>
      <c r="AY432">
        <v>0</v>
      </c>
      <c r="AZ432" t="s">
        <v>853</v>
      </c>
      <c r="BA432">
        <v>2.4300000000000002</v>
      </c>
      <c r="BB432" s="1">
        <v>44978</v>
      </c>
    </row>
    <row r="433" spans="1:54" x14ac:dyDescent="0.25">
      <c r="A433">
        <v>2023</v>
      </c>
      <c r="B433">
        <v>211</v>
      </c>
      <c r="C433" s="1">
        <v>44978</v>
      </c>
      <c r="D433">
        <v>2023</v>
      </c>
      <c r="E433">
        <v>2023</v>
      </c>
      <c r="F433">
        <v>14</v>
      </c>
      <c r="H433" t="s">
        <v>852</v>
      </c>
      <c r="I433">
        <v>130</v>
      </c>
      <c r="J433">
        <v>0</v>
      </c>
      <c r="K433" t="s">
        <v>128</v>
      </c>
      <c r="R433" t="s">
        <v>190</v>
      </c>
      <c r="S433" t="str">
        <f t="shared" si="42"/>
        <v>31</v>
      </c>
      <c r="T433" t="s">
        <v>122</v>
      </c>
      <c r="W433" t="s">
        <v>850</v>
      </c>
      <c r="Y433">
        <v>3344</v>
      </c>
      <c r="Z433" t="s">
        <v>192</v>
      </c>
      <c r="AB433" t="str">
        <f t="shared" si="43"/>
        <v>02616630022</v>
      </c>
      <c r="AC433" t="s">
        <v>116</v>
      </c>
      <c r="AD433" t="s">
        <v>193</v>
      </c>
      <c r="AF433">
        <v>2023</v>
      </c>
      <c r="AG433">
        <v>124</v>
      </c>
      <c r="AH433" t="str">
        <f t="shared" ref="AH433:AH464" si="44">"1"</f>
        <v>1</v>
      </c>
      <c r="AI433" t="str">
        <f>"5230005583"</f>
        <v>5230005583</v>
      </c>
      <c r="AJ433" s="1">
        <v>44944</v>
      </c>
      <c r="AL433">
        <v>308.19</v>
      </c>
      <c r="AM433" t="str">
        <f>"8868735201"</f>
        <v>8868735201</v>
      </c>
      <c r="AN433">
        <v>2023</v>
      </c>
      <c r="AO433">
        <v>227</v>
      </c>
      <c r="AP433">
        <v>308.19</v>
      </c>
      <c r="AQ433">
        <v>0</v>
      </c>
      <c r="AR433">
        <v>170.9</v>
      </c>
      <c r="AS433" t="s">
        <v>194</v>
      </c>
      <c r="AT433">
        <v>280.17</v>
      </c>
      <c r="AU433">
        <v>28.02</v>
      </c>
      <c r="AV433">
        <v>2023</v>
      </c>
      <c r="AW433">
        <v>87</v>
      </c>
      <c r="AX433">
        <v>670</v>
      </c>
      <c r="AY433">
        <v>0</v>
      </c>
      <c r="AZ433" t="s">
        <v>853</v>
      </c>
      <c r="BA433">
        <v>308.19</v>
      </c>
      <c r="BB433" s="1">
        <v>44978</v>
      </c>
    </row>
    <row r="434" spans="1:54" x14ac:dyDescent="0.25">
      <c r="A434">
        <v>2023</v>
      </c>
      <c r="B434">
        <v>211</v>
      </c>
      <c r="C434" s="1">
        <v>44978</v>
      </c>
      <c r="D434">
        <v>2023</v>
      </c>
      <c r="E434">
        <v>2023</v>
      </c>
      <c r="F434">
        <v>14</v>
      </c>
      <c r="H434" t="s">
        <v>852</v>
      </c>
      <c r="I434">
        <v>130</v>
      </c>
      <c r="J434">
        <v>0</v>
      </c>
      <c r="K434" t="s">
        <v>128</v>
      </c>
      <c r="R434" t="s">
        <v>190</v>
      </c>
      <c r="S434" t="str">
        <f t="shared" si="42"/>
        <v>31</v>
      </c>
      <c r="T434" t="s">
        <v>122</v>
      </c>
      <c r="W434" t="s">
        <v>850</v>
      </c>
      <c r="Y434">
        <v>3344</v>
      </c>
      <c r="Z434" t="s">
        <v>192</v>
      </c>
      <c r="AB434" t="str">
        <f t="shared" si="43"/>
        <v>02616630022</v>
      </c>
      <c r="AC434" t="s">
        <v>116</v>
      </c>
      <c r="AD434" t="s">
        <v>193</v>
      </c>
      <c r="AF434">
        <v>2023</v>
      </c>
      <c r="AG434">
        <v>128</v>
      </c>
      <c r="AH434" t="str">
        <f t="shared" si="44"/>
        <v>1</v>
      </c>
      <c r="AI434" t="str">
        <f>"5230005554"</f>
        <v>5230005554</v>
      </c>
      <c r="AJ434" s="1">
        <v>44944</v>
      </c>
      <c r="AL434">
        <v>2.1800000000000002</v>
      </c>
      <c r="AM434" t="str">
        <f>"8868726437"</f>
        <v>8868726437</v>
      </c>
      <c r="AN434">
        <v>2023</v>
      </c>
      <c r="AO434">
        <v>227</v>
      </c>
      <c r="AP434">
        <v>2.1800000000000002</v>
      </c>
      <c r="AQ434">
        <v>0</v>
      </c>
      <c r="AR434">
        <v>170.9</v>
      </c>
      <c r="AS434" t="s">
        <v>194</v>
      </c>
      <c r="AT434">
        <v>1.98</v>
      </c>
      <c r="AU434">
        <v>0.2</v>
      </c>
      <c r="AV434">
        <v>2023</v>
      </c>
      <c r="AW434">
        <v>87</v>
      </c>
      <c r="AX434">
        <v>670</v>
      </c>
      <c r="AY434">
        <v>0</v>
      </c>
      <c r="AZ434" t="s">
        <v>853</v>
      </c>
      <c r="BA434">
        <v>2.1800000000000002</v>
      </c>
      <c r="BB434" s="1">
        <v>44978</v>
      </c>
    </row>
    <row r="435" spans="1:54" x14ac:dyDescent="0.25">
      <c r="A435">
        <v>2023</v>
      </c>
      <c r="B435">
        <v>211</v>
      </c>
      <c r="C435" s="1">
        <v>44978</v>
      </c>
      <c r="D435">
        <v>2023</v>
      </c>
      <c r="E435">
        <v>2023</v>
      </c>
      <c r="F435">
        <v>14</v>
      </c>
      <c r="H435" t="s">
        <v>852</v>
      </c>
      <c r="I435">
        <v>130</v>
      </c>
      <c r="J435">
        <v>0</v>
      </c>
      <c r="K435" t="s">
        <v>128</v>
      </c>
      <c r="R435" t="s">
        <v>190</v>
      </c>
      <c r="S435" t="str">
        <f t="shared" si="42"/>
        <v>31</v>
      </c>
      <c r="T435" t="s">
        <v>122</v>
      </c>
      <c r="W435" t="s">
        <v>850</v>
      </c>
      <c r="Y435">
        <v>3344</v>
      </c>
      <c r="Z435" t="s">
        <v>192</v>
      </c>
      <c r="AB435" t="str">
        <f t="shared" si="43"/>
        <v>02616630022</v>
      </c>
      <c r="AC435" t="s">
        <v>116</v>
      </c>
      <c r="AD435" t="s">
        <v>193</v>
      </c>
      <c r="AF435">
        <v>2023</v>
      </c>
      <c r="AG435">
        <v>131</v>
      </c>
      <c r="AH435" t="str">
        <f t="shared" si="44"/>
        <v>1</v>
      </c>
      <c r="AI435" t="str">
        <f>"5230005553"</f>
        <v>5230005553</v>
      </c>
      <c r="AJ435" s="1">
        <v>44944</v>
      </c>
      <c r="AL435">
        <v>2.1800000000000002</v>
      </c>
      <c r="AM435" t="str">
        <f>"8868727719"</f>
        <v>8868727719</v>
      </c>
      <c r="AN435">
        <v>2023</v>
      </c>
      <c r="AO435">
        <v>227</v>
      </c>
      <c r="AP435">
        <v>2.1800000000000002</v>
      </c>
      <c r="AQ435">
        <v>0</v>
      </c>
      <c r="AR435">
        <v>170.9</v>
      </c>
      <c r="AS435" t="s">
        <v>194</v>
      </c>
      <c r="AT435">
        <v>1.98</v>
      </c>
      <c r="AU435">
        <v>0.2</v>
      </c>
      <c r="AV435">
        <v>2023</v>
      </c>
      <c r="AW435">
        <v>87</v>
      </c>
      <c r="AX435">
        <v>670</v>
      </c>
      <c r="AY435">
        <v>0</v>
      </c>
      <c r="AZ435" t="s">
        <v>853</v>
      </c>
      <c r="BA435">
        <v>2.1800000000000002</v>
      </c>
      <c r="BB435" s="1">
        <v>44978</v>
      </c>
    </row>
    <row r="436" spans="1:54" x14ac:dyDescent="0.25">
      <c r="A436">
        <v>2023</v>
      </c>
      <c r="B436">
        <v>211</v>
      </c>
      <c r="C436" s="1">
        <v>44978</v>
      </c>
      <c r="D436">
        <v>2023</v>
      </c>
      <c r="E436">
        <v>2023</v>
      </c>
      <c r="F436">
        <v>14</v>
      </c>
      <c r="H436" t="s">
        <v>852</v>
      </c>
      <c r="I436">
        <v>130</v>
      </c>
      <c r="J436">
        <v>0</v>
      </c>
      <c r="K436" t="s">
        <v>128</v>
      </c>
      <c r="R436" t="s">
        <v>190</v>
      </c>
      <c r="S436" t="str">
        <f t="shared" si="42"/>
        <v>31</v>
      </c>
      <c r="T436" t="s">
        <v>122</v>
      </c>
      <c r="W436" t="s">
        <v>850</v>
      </c>
      <c r="Y436">
        <v>3344</v>
      </c>
      <c r="Z436" t="s">
        <v>192</v>
      </c>
      <c r="AB436" t="str">
        <f t="shared" si="43"/>
        <v>02616630022</v>
      </c>
      <c r="AC436" t="s">
        <v>116</v>
      </c>
      <c r="AD436" t="s">
        <v>193</v>
      </c>
      <c r="AF436">
        <v>2023</v>
      </c>
      <c r="AG436">
        <v>136</v>
      </c>
      <c r="AH436" t="str">
        <f t="shared" si="44"/>
        <v>1</v>
      </c>
      <c r="AI436" t="str">
        <f>"5230005601"</f>
        <v>5230005601</v>
      </c>
      <c r="AJ436" s="1">
        <v>44944</v>
      </c>
      <c r="AL436">
        <v>14.34</v>
      </c>
      <c r="AM436" t="str">
        <f>"8869296128"</f>
        <v>8869296128</v>
      </c>
      <c r="AN436">
        <v>2023</v>
      </c>
      <c r="AO436">
        <v>227</v>
      </c>
      <c r="AP436">
        <v>14.34</v>
      </c>
      <c r="AQ436">
        <v>0</v>
      </c>
      <c r="AR436">
        <v>170.9</v>
      </c>
      <c r="AS436" t="s">
        <v>194</v>
      </c>
      <c r="AT436">
        <v>13.04</v>
      </c>
      <c r="AU436">
        <v>1.3</v>
      </c>
      <c r="AV436">
        <v>2023</v>
      </c>
      <c r="AW436">
        <v>87</v>
      </c>
      <c r="AX436">
        <v>670</v>
      </c>
      <c r="AY436">
        <v>0</v>
      </c>
      <c r="AZ436" t="s">
        <v>853</v>
      </c>
      <c r="BA436">
        <v>14.34</v>
      </c>
      <c r="BB436" s="1">
        <v>44978</v>
      </c>
    </row>
    <row r="437" spans="1:54" x14ac:dyDescent="0.25">
      <c r="A437">
        <v>2023</v>
      </c>
      <c r="B437">
        <v>211</v>
      </c>
      <c r="C437" s="1">
        <v>44978</v>
      </c>
      <c r="D437">
        <v>2023</v>
      </c>
      <c r="E437">
        <v>2023</v>
      </c>
      <c r="F437">
        <v>14</v>
      </c>
      <c r="H437" t="s">
        <v>852</v>
      </c>
      <c r="I437">
        <v>130</v>
      </c>
      <c r="J437">
        <v>0</v>
      </c>
      <c r="K437" t="s">
        <v>128</v>
      </c>
      <c r="R437" t="s">
        <v>190</v>
      </c>
      <c r="S437" t="str">
        <f t="shared" si="42"/>
        <v>31</v>
      </c>
      <c r="T437" t="s">
        <v>122</v>
      </c>
      <c r="W437" t="s">
        <v>850</v>
      </c>
      <c r="Y437">
        <v>3344</v>
      </c>
      <c r="Z437" t="s">
        <v>192</v>
      </c>
      <c r="AB437" t="str">
        <f t="shared" si="43"/>
        <v>02616630022</v>
      </c>
      <c r="AC437" t="s">
        <v>116</v>
      </c>
      <c r="AD437" t="s">
        <v>193</v>
      </c>
      <c r="AF437">
        <v>2023</v>
      </c>
      <c r="AG437">
        <v>139</v>
      </c>
      <c r="AH437" t="str">
        <f t="shared" si="44"/>
        <v>1</v>
      </c>
      <c r="AI437" t="str">
        <f>"5230005616"</f>
        <v>5230005616</v>
      </c>
      <c r="AJ437" s="1">
        <v>44944</v>
      </c>
      <c r="AL437">
        <v>33.1</v>
      </c>
      <c r="AM437" t="str">
        <f>"8869294131"</f>
        <v>8869294131</v>
      </c>
      <c r="AN437">
        <v>2023</v>
      </c>
      <c r="AO437">
        <v>227</v>
      </c>
      <c r="AP437">
        <v>33.1</v>
      </c>
      <c r="AQ437">
        <v>0</v>
      </c>
      <c r="AR437">
        <v>170.9</v>
      </c>
      <c r="AS437" t="s">
        <v>194</v>
      </c>
      <c r="AT437">
        <v>30.09</v>
      </c>
      <c r="AU437">
        <v>3.01</v>
      </c>
      <c r="AV437">
        <v>2023</v>
      </c>
      <c r="AW437">
        <v>87</v>
      </c>
      <c r="AX437">
        <v>670</v>
      </c>
      <c r="AY437">
        <v>0</v>
      </c>
      <c r="AZ437" t="s">
        <v>853</v>
      </c>
      <c r="BA437">
        <v>33.1</v>
      </c>
      <c r="BB437" s="1">
        <v>44978</v>
      </c>
    </row>
    <row r="438" spans="1:54" x14ac:dyDescent="0.25">
      <c r="A438">
        <v>2023</v>
      </c>
      <c r="B438">
        <v>211</v>
      </c>
      <c r="C438" s="1">
        <v>44978</v>
      </c>
      <c r="D438">
        <v>2023</v>
      </c>
      <c r="E438">
        <v>2023</v>
      </c>
      <c r="F438">
        <v>14</v>
      </c>
      <c r="H438" t="s">
        <v>852</v>
      </c>
      <c r="I438">
        <v>130</v>
      </c>
      <c r="J438">
        <v>0</v>
      </c>
      <c r="K438" t="s">
        <v>128</v>
      </c>
      <c r="R438" t="s">
        <v>190</v>
      </c>
      <c r="S438" t="str">
        <f t="shared" si="42"/>
        <v>31</v>
      </c>
      <c r="T438" t="s">
        <v>122</v>
      </c>
      <c r="W438" t="s">
        <v>850</v>
      </c>
      <c r="Y438">
        <v>3344</v>
      </c>
      <c r="Z438" t="s">
        <v>192</v>
      </c>
      <c r="AB438" t="str">
        <f t="shared" si="43"/>
        <v>02616630022</v>
      </c>
      <c r="AC438" t="s">
        <v>116</v>
      </c>
      <c r="AD438" t="s">
        <v>193</v>
      </c>
      <c r="AF438">
        <v>2023</v>
      </c>
      <c r="AG438">
        <v>145</v>
      </c>
      <c r="AH438" t="str">
        <f t="shared" si="44"/>
        <v>1</v>
      </c>
      <c r="AI438" t="str">
        <f>"5230005645"</f>
        <v>5230005645</v>
      </c>
      <c r="AJ438" s="1">
        <v>44944</v>
      </c>
      <c r="AL438">
        <v>42.5</v>
      </c>
      <c r="AM438" t="str">
        <f>"8869306736"</f>
        <v>8869306736</v>
      </c>
      <c r="AN438">
        <v>2023</v>
      </c>
      <c r="AO438">
        <v>227</v>
      </c>
      <c r="AP438">
        <v>42.5</v>
      </c>
      <c r="AQ438">
        <v>0</v>
      </c>
      <c r="AR438">
        <v>170.9</v>
      </c>
      <c r="AS438" t="s">
        <v>177</v>
      </c>
      <c r="AT438">
        <v>34.840000000000003</v>
      </c>
      <c r="AU438">
        <v>7.66</v>
      </c>
      <c r="AV438">
        <v>2023</v>
      </c>
      <c r="AW438">
        <v>87</v>
      </c>
      <c r="AX438">
        <v>670</v>
      </c>
      <c r="AY438">
        <v>0</v>
      </c>
      <c r="AZ438" t="s">
        <v>853</v>
      </c>
      <c r="BA438">
        <v>42.5</v>
      </c>
      <c r="BB438" s="1">
        <v>44978</v>
      </c>
    </row>
    <row r="439" spans="1:54" x14ac:dyDescent="0.25">
      <c r="A439">
        <v>2023</v>
      </c>
      <c r="B439">
        <v>211</v>
      </c>
      <c r="C439" s="1">
        <v>44978</v>
      </c>
      <c r="D439">
        <v>2023</v>
      </c>
      <c r="E439">
        <v>2023</v>
      </c>
      <c r="F439">
        <v>14</v>
      </c>
      <c r="H439" t="s">
        <v>852</v>
      </c>
      <c r="I439">
        <v>130</v>
      </c>
      <c r="J439">
        <v>0</v>
      </c>
      <c r="K439" t="s">
        <v>128</v>
      </c>
      <c r="R439" t="s">
        <v>190</v>
      </c>
      <c r="S439" t="str">
        <f t="shared" si="42"/>
        <v>31</v>
      </c>
      <c r="T439" t="s">
        <v>122</v>
      </c>
      <c r="W439" t="s">
        <v>850</v>
      </c>
      <c r="Y439">
        <v>3344</v>
      </c>
      <c r="Z439" t="s">
        <v>192</v>
      </c>
      <c r="AB439" t="str">
        <f t="shared" si="43"/>
        <v>02616630022</v>
      </c>
      <c r="AC439" t="s">
        <v>116</v>
      </c>
      <c r="AD439" t="s">
        <v>193</v>
      </c>
      <c r="AF439">
        <v>2023</v>
      </c>
      <c r="AG439">
        <v>164</v>
      </c>
      <c r="AH439" t="str">
        <f t="shared" si="44"/>
        <v>1</v>
      </c>
      <c r="AI439" t="str">
        <f>"5230005626"</f>
        <v>5230005626</v>
      </c>
      <c r="AJ439" s="1">
        <v>44944</v>
      </c>
      <c r="AL439">
        <v>-122.56</v>
      </c>
      <c r="AM439" t="str">
        <f>"8869351205"</f>
        <v>8869351205</v>
      </c>
      <c r="AN439">
        <v>2023</v>
      </c>
      <c r="AO439">
        <v>227</v>
      </c>
      <c r="AP439">
        <v>-122.56</v>
      </c>
      <c r="AQ439">
        <v>0</v>
      </c>
      <c r="AR439">
        <v>170.9</v>
      </c>
      <c r="AS439" t="s">
        <v>194</v>
      </c>
      <c r="AT439">
        <v>-111.42</v>
      </c>
      <c r="AU439">
        <v>-11.14</v>
      </c>
      <c r="AV439">
        <v>2023</v>
      </c>
      <c r="AW439">
        <v>87</v>
      </c>
      <c r="AX439">
        <v>670</v>
      </c>
      <c r="AY439">
        <v>0</v>
      </c>
      <c r="AZ439" t="s">
        <v>853</v>
      </c>
      <c r="BA439">
        <v>-122.56</v>
      </c>
      <c r="BB439" s="1">
        <v>44978</v>
      </c>
    </row>
    <row r="440" spans="1:54" x14ac:dyDescent="0.25">
      <c r="A440">
        <v>2023</v>
      </c>
      <c r="B440">
        <v>211</v>
      </c>
      <c r="C440" s="1">
        <v>44978</v>
      </c>
      <c r="D440">
        <v>2023</v>
      </c>
      <c r="E440">
        <v>2023</v>
      </c>
      <c r="F440">
        <v>14</v>
      </c>
      <c r="H440" t="s">
        <v>852</v>
      </c>
      <c r="I440">
        <v>130</v>
      </c>
      <c r="J440">
        <v>0</v>
      </c>
      <c r="K440" t="s">
        <v>128</v>
      </c>
      <c r="R440" t="s">
        <v>190</v>
      </c>
      <c r="S440" t="str">
        <f t="shared" si="42"/>
        <v>31</v>
      </c>
      <c r="T440" t="s">
        <v>122</v>
      </c>
      <c r="W440" t="s">
        <v>850</v>
      </c>
      <c r="Y440">
        <v>3344</v>
      </c>
      <c r="Z440" t="s">
        <v>192</v>
      </c>
      <c r="AB440" t="str">
        <f t="shared" si="43"/>
        <v>02616630022</v>
      </c>
      <c r="AC440" t="s">
        <v>116</v>
      </c>
      <c r="AD440" t="s">
        <v>193</v>
      </c>
      <c r="AF440">
        <v>2023</v>
      </c>
      <c r="AG440">
        <v>169</v>
      </c>
      <c r="AH440" t="str">
        <f t="shared" si="44"/>
        <v>1</v>
      </c>
      <c r="AI440" t="str">
        <f>"5230005539"</f>
        <v>5230005539</v>
      </c>
      <c r="AJ440" s="1">
        <v>44944</v>
      </c>
      <c r="AL440">
        <v>2.1800000000000002</v>
      </c>
      <c r="AM440" t="str">
        <f>"8868724943"</f>
        <v>8868724943</v>
      </c>
      <c r="AN440">
        <v>2023</v>
      </c>
      <c r="AO440">
        <v>227</v>
      </c>
      <c r="AP440">
        <v>2.1800000000000002</v>
      </c>
      <c r="AQ440">
        <v>0</v>
      </c>
      <c r="AR440">
        <v>170.9</v>
      </c>
      <c r="AS440" t="s">
        <v>194</v>
      </c>
      <c r="AT440">
        <v>1.98</v>
      </c>
      <c r="AU440">
        <v>0.2</v>
      </c>
      <c r="AV440">
        <v>2023</v>
      </c>
      <c r="AW440">
        <v>87</v>
      </c>
      <c r="AX440">
        <v>670</v>
      </c>
      <c r="AY440">
        <v>0</v>
      </c>
      <c r="AZ440" t="s">
        <v>853</v>
      </c>
      <c r="BA440">
        <v>2.1800000000000002</v>
      </c>
      <c r="BB440" s="1">
        <v>44978</v>
      </c>
    </row>
    <row r="441" spans="1:54" x14ac:dyDescent="0.25">
      <c r="A441">
        <v>2023</v>
      </c>
      <c r="B441">
        <v>211</v>
      </c>
      <c r="C441" s="1">
        <v>44978</v>
      </c>
      <c r="D441">
        <v>2023</v>
      </c>
      <c r="E441">
        <v>2023</v>
      </c>
      <c r="F441">
        <v>14</v>
      </c>
      <c r="H441" t="s">
        <v>852</v>
      </c>
      <c r="I441">
        <v>130</v>
      </c>
      <c r="J441">
        <v>0</v>
      </c>
      <c r="K441" t="s">
        <v>128</v>
      </c>
      <c r="R441" t="s">
        <v>190</v>
      </c>
      <c r="S441" t="str">
        <f t="shared" si="42"/>
        <v>31</v>
      </c>
      <c r="T441" t="s">
        <v>122</v>
      </c>
      <c r="W441" t="s">
        <v>850</v>
      </c>
      <c r="Y441">
        <v>3344</v>
      </c>
      <c r="Z441" t="s">
        <v>192</v>
      </c>
      <c r="AB441" t="str">
        <f t="shared" si="43"/>
        <v>02616630022</v>
      </c>
      <c r="AC441" t="s">
        <v>116</v>
      </c>
      <c r="AD441" t="s">
        <v>193</v>
      </c>
      <c r="AF441">
        <v>2023</v>
      </c>
      <c r="AG441">
        <v>173</v>
      </c>
      <c r="AH441" t="str">
        <f t="shared" si="44"/>
        <v>1</v>
      </c>
      <c r="AI441" t="str">
        <f>"5230005549"</f>
        <v>5230005549</v>
      </c>
      <c r="AJ441" s="1">
        <v>44944</v>
      </c>
      <c r="AL441">
        <v>2.15</v>
      </c>
      <c r="AM441" t="str">
        <f>"8868726545"</f>
        <v>8868726545</v>
      </c>
      <c r="AN441">
        <v>2023</v>
      </c>
      <c r="AO441">
        <v>227</v>
      </c>
      <c r="AP441">
        <v>2.15</v>
      </c>
      <c r="AQ441">
        <v>0</v>
      </c>
      <c r="AR441">
        <v>170.9</v>
      </c>
      <c r="AS441" t="s">
        <v>194</v>
      </c>
      <c r="AT441">
        <v>1.95</v>
      </c>
      <c r="AU441">
        <v>0.2</v>
      </c>
      <c r="AV441">
        <v>2023</v>
      </c>
      <c r="AW441">
        <v>87</v>
      </c>
      <c r="AX441">
        <v>670</v>
      </c>
      <c r="AY441">
        <v>0</v>
      </c>
      <c r="AZ441" t="s">
        <v>853</v>
      </c>
      <c r="BA441">
        <v>2.15</v>
      </c>
      <c r="BB441" s="1">
        <v>44978</v>
      </c>
    </row>
    <row r="442" spans="1:54" x14ac:dyDescent="0.25">
      <c r="A442">
        <v>2023</v>
      </c>
      <c r="B442">
        <v>211</v>
      </c>
      <c r="C442" s="1">
        <v>44978</v>
      </c>
      <c r="D442">
        <v>2023</v>
      </c>
      <c r="E442">
        <v>2023</v>
      </c>
      <c r="F442">
        <v>14</v>
      </c>
      <c r="H442" t="s">
        <v>852</v>
      </c>
      <c r="I442">
        <v>130</v>
      </c>
      <c r="J442">
        <v>0</v>
      </c>
      <c r="K442" t="s">
        <v>128</v>
      </c>
      <c r="R442" t="s">
        <v>190</v>
      </c>
      <c r="S442" t="str">
        <f t="shared" si="42"/>
        <v>31</v>
      </c>
      <c r="T442" t="s">
        <v>122</v>
      </c>
      <c r="W442" t="s">
        <v>850</v>
      </c>
      <c r="Y442">
        <v>3344</v>
      </c>
      <c r="Z442" t="s">
        <v>192</v>
      </c>
      <c r="AB442" t="str">
        <f t="shared" si="43"/>
        <v>02616630022</v>
      </c>
      <c r="AC442" t="s">
        <v>116</v>
      </c>
      <c r="AD442" t="s">
        <v>193</v>
      </c>
      <c r="AF442">
        <v>2023</v>
      </c>
      <c r="AG442">
        <v>178</v>
      </c>
      <c r="AH442" t="str">
        <f t="shared" si="44"/>
        <v>1</v>
      </c>
      <c r="AI442" t="str">
        <f>"5230005592"</f>
        <v>5230005592</v>
      </c>
      <c r="AJ442" s="1">
        <v>44944</v>
      </c>
      <c r="AL442">
        <v>29.52</v>
      </c>
      <c r="AM442" t="str">
        <f>"8869308851"</f>
        <v>8869308851</v>
      </c>
      <c r="AN442">
        <v>2023</v>
      </c>
      <c r="AO442">
        <v>227</v>
      </c>
      <c r="AP442">
        <v>29.52</v>
      </c>
      <c r="AQ442">
        <v>0</v>
      </c>
      <c r="AR442">
        <v>170.9</v>
      </c>
      <c r="AS442" t="s">
        <v>194</v>
      </c>
      <c r="AT442">
        <v>26.84</v>
      </c>
      <c r="AU442">
        <v>2.68</v>
      </c>
      <c r="AV442">
        <v>2023</v>
      </c>
      <c r="AW442">
        <v>87</v>
      </c>
      <c r="AX442">
        <v>670</v>
      </c>
      <c r="AY442">
        <v>0</v>
      </c>
      <c r="AZ442" t="s">
        <v>853</v>
      </c>
      <c r="BA442">
        <v>29.52</v>
      </c>
      <c r="BB442" s="1">
        <v>44978</v>
      </c>
    </row>
    <row r="443" spans="1:54" x14ac:dyDescent="0.25">
      <c r="A443">
        <v>2023</v>
      </c>
      <c r="B443">
        <v>211</v>
      </c>
      <c r="C443" s="1">
        <v>44978</v>
      </c>
      <c r="D443">
        <v>2023</v>
      </c>
      <c r="E443">
        <v>2023</v>
      </c>
      <c r="F443">
        <v>14</v>
      </c>
      <c r="H443" t="s">
        <v>852</v>
      </c>
      <c r="I443">
        <v>130</v>
      </c>
      <c r="J443">
        <v>0</v>
      </c>
      <c r="K443" t="s">
        <v>128</v>
      </c>
      <c r="R443" t="s">
        <v>190</v>
      </c>
      <c r="S443" t="str">
        <f t="shared" si="42"/>
        <v>31</v>
      </c>
      <c r="T443" t="s">
        <v>122</v>
      </c>
      <c r="W443" t="s">
        <v>850</v>
      </c>
      <c r="Y443">
        <v>3344</v>
      </c>
      <c r="Z443" t="s">
        <v>192</v>
      </c>
      <c r="AB443" t="str">
        <f t="shared" si="43"/>
        <v>02616630022</v>
      </c>
      <c r="AC443" t="s">
        <v>116</v>
      </c>
      <c r="AD443" t="s">
        <v>193</v>
      </c>
      <c r="AF443">
        <v>2023</v>
      </c>
      <c r="AG443">
        <v>181</v>
      </c>
      <c r="AH443" t="str">
        <f t="shared" si="44"/>
        <v>1</v>
      </c>
      <c r="AI443" t="str">
        <f>"5230005574"</f>
        <v>5230005574</v>
      </c>
      <c r="AJ443" s="1">
        <v>44944</v>
      </c>
      <c r="AL443">
        <v>43.15</v>
      </c>
      <c r="AM443" t="str">
        <f>"8868725157"</f>
        <v>8868725157</v>
      </c>
      <c r="AN443">
        <v>2023</v>
      </c>
      <c r="AO443">
        <v>227</v>
      </c>
      <c r="AP443">
        <v>43.15</v>
      </c>
      <c r="AQ443">
        <v>0</v>
      </c>
      <c r="AR443">
        <v>170.9</v>
      </c>
      <c r="AS443" t="s">
        <v>194</v>
      </c>
      <c r="AT443">
        <v>39.229999999999997</v>
      </c>
      <c r="AU443">
        <v>3.92</v>
      </c>
      <c r="AV443">
        <v>2023</v>
      </c>
      <c r="AW443">
        <v>87</v>
      </c>
      <c r="AX443">
        <v>670</v>
      </c>
      <c r="AY443">
        <v>0</v>
      </c>
      <c r="AZ443" t="s">
        <v>853</v>
      </c>
      <c r="BA443">
        <v>43.15</v>
      </c>
      <c r="BB443" s="1">
        <v>44978</v>
      </c>
    </row>
    <row r="444" spans="1:54" x14ac:dyDescent="0.25">
      <c r="A444">
        <v>2023</v>
      </c>
      <c r="B444">
        <v>211</v>
      </c>
      <c r="C444" s="1">
        <v>44978</v>
      </c>
      <c r="D444">
        <v>2023</v>
      </c>
      <c r="E444">
        <v>2023</v>
      </c>
      <c r="F444">
        <v>14</v>
      </c>
      <c r="H444" t="s">
        <v>852</v>
      </c>
      <c r="I444">
        <v>130</v>
      </c>
      <c r="J444">
        <v>0</v>
      </c>
      <c r="K444" t="s">
        <v>128</v>
      </c>
      <c r="R444" t="s">
        <v>190</v>
      </c>
      <c r="S444" t="str">
        <f t="shared" si="42"/>
        <v>31</v>
      </c>
      <c r="T444" t="s">
        <v>122</v>
      </c>
      <c r="W444" t="s">
        <v>850</v>
      </c>
      <c r="Y444">
        <v>3344</v>
      </c>
      <c r="Z444" t="s">
        <v>192</v>
      </c>
      <c r="AB444" t="str">
        <f t="shared" si="43"/>
        <v>02616630022</v>
      </c>
      <c r="AC444" t="s">
        <v>116</v>
      </c>
      <c r="AD444" t="s">
        <v>193</v>
      </c>
      <c r="AF444">
        <v>2023</v>
      </c>
      <c r="AG444">
        <v>184</v>
      </c>
      <c r="AH444" t="str">
        <f t="shared" si="44"/>
        <v>1</v>
      </c>
      <c r="AI444" t="str">
        <f>"5230005594"</f>
        <v>5230005594</v>
      </c>
      <c r="AJ444" s="1">
        <v>44944</v>
      </c>
      <c r="AL444">
        <v>2.15</v>
      </c>
      <c r="AM444" t="str">
        <f>"8869308549"</f>
        <v>8869308549</v>
      </c>
      <c r="AN444">
        <v>2023</v>
      </c>
      <c r="AO444">
        <v>227</v>
      </c>
      <c r="AP444">
        <v>2.15</v>
      </c>
      <c r="AQ444">
        <v>0</v>
      </c>
      <c r="AR444">
        <v>170.9</v>
      </c>
      <c r="AS444" t="s">
        <v>194</v>
      </c>
      <c r="AT444">
        <v>1.95</v>
      </c>
      <c r="AU444">
        <v>0.2</v>
      </c>
      <c r="AV444">
        <v>2023</v>
      </c>
      <c r="AW444">
        <v>87</v>
      </c>
      <c r="AX444">
        <v>670</v>
      </c>
      <c r="AY444">
        <v>0</v>
      </c>
      <c r="AZ444" t="s">
        <v>853</v>
      </c>
      <c r="BA444">
        <v>2.15</v>
      </c>
      <c r="BB444" s="1">
        <v>44978</v>
      </c>
    </row>
    <row r="445" spans="1:54" x14ac:dyDescent="0.25">
      <c r="A445">
        <v>2023</v>
      </c>
      <c r="B445">
        <v>211</v>
      </c>
      <c r="C445" s="1">
        <v>44978</v>
      </c>
      <c r="D445">
        <v>2023</v>
      </c>
      <c r="E445">
        <v>2023</v>
      </c>
      <c r="F445">
        <v>14</v>
      </c>
      <c r="H445" t="s">
        <v>852</v>
      </c>
      <c r="I445">
        <v>130</v>
      </c>
      <c r="J445">
        <v>0</v>
      </c>
      <c r="K445" t="s">
        <v>128</v>
      </c>
      <c r="R445" t="s">
        <v>190</v>
      </c>
      <c r="S445" t="str">
        <f t="shared" ref="S445:S476" si="45">"31"</f>
        <v>31</v>
      </c>
      <c r="T445" t="s">
        <v>122</v>
      </c>
      <c r="W445" t="s">
        <v>850</v>
      </c>
      <c r="Y445">
        <v>3344</v>
      </c>
      <c r="Z445" t="s">
        <v>192</v>
      </c>
      <c r="AB445" t="str">
        <f t="shared" ref="AB445:AB476" si="46">"02616630022"</f>
        <v>02616630022</v>
      </c>
      <c r="AC445" t="s">
        <v>116</v>
      </c>
      <c r="AD445" t="s">
        <v>193</v>
      </c>
      <c r="AF445">
        <v>2023</v>
      </c>
      <c r="AG445">
        <v>187</v>
      </c>
      <c r="AH445" t="str">
        <f t="shared" si="44"/>
        <v>1</v>
      </c>
      <c r="AI445" t="str">
        <f>"5230005576"</f>
        <v>5230005576</v>
      </c>
      <c r="AJ445" s="1">
        <v>44944</v>
      </c>
      <c r="AL445">
        <v>2.17</v>
      </c>
      <c r="AM445" t="str">
        <f>"8868730953"</f>
        <v>8868730953</v>
      </c>
      <c r="AN445">
        <v>2023</v>
      </c>
      <c r="AO445">
        <v>227</v>
      </c>
      <c r="AP445">
        <v>2.17</v>
      </c>
      <c r="AQ445">
        <v>0</v>
      </c>
      <c r="AR445">
        <v>170.9</v>
      </c>
      <c r="AS445" t="s">
        <v>194</v>
      </c>
      <c r="AT445">
        <v>1.97</v>
      </c>
      <c r="AU445">
        <v>0.2</v>
      </c>
      <c r="AV445">
        <v>2023</v>
      </c>
      <c r="AW445">
        <v>87</v>
      </c>
      <c r="AX445">
        <v>670</v>
      </c>
      <c r="AY445">
        <v>0</v>
      </c>
      <c r="AZ445" t="s">
        <v>853</v>
      </c>
      <c r="BA445">
        <v>2.17</v>
      </c>
      <c r="BB445" s="1">
        <v>44978</v>
      </c>
    </row>
    <row r="446" spans="1:54" x14ac:dyDescent="0.25">
      <c r="A446">
        <v>2023</v>
      </c>
      <c r="B446">
        <v>211</v>
      </c>
      <c r="C446" s="1">
        <v>44978</v>
      </c>
      <c r="D446">
        <v>2023</v>
      </c>
      <c r="E446">
        <v>2023</v>
      </c>
      <c r="F446">
        <v>14</v>
      </c>
      <c r="H446" t="s">
        <v>852</v>
      </c>
      <c r="I446">
        <v>130</v>
      </c>
      <c r="J446">
        <v>0</v>
      </c>
      <c r="K446" t="s">
        <v>128</v>
      </c>
      <c r="R446" t="s">
        <v>190</v>
      </c>
      <c r="S446" t="str">
        <f t="shared" si="45"/>
        <v>31</v>
      </c>
      <c r="T446" t="s">
        <v>122</v>
      </c>
      <c r="W446" t="s">
        <v>850</v>
      </c>
      <c r="Y446">
        <v>3344</v>
      </c>
      <c r="Z446" t="s">
        <v>192</v>
      </c>
      <c r="AB446" t="str">
        <f t="shared" si="46"/>
        <v>02616630022</v>
      </c>
      <c r="AC446" t="s">
        <v>116</v>
      </c>
      <c r="AD446" t="s">
        <v>193</v>
      </c>
      <c r="AF446">
        <v>2023</v>
      </c>
      <c r="AG446">
        <v>189</v>
      </c>
      <c r="AH446" t="str">
        <f t="shared" si="44"/>
        <v>1</v>
      </c>
      <c r="AI446" t="str">
        <f>"5230005590"</f>
        <v>5230005590</v>
      </c>
      <c r="AJ446" s="1">
        <v>44944</v>
      </c>
      <c r="AL446">
        <v>23.65</v>
      </c>
      <c r="AM446" t="str">
        <f>"8869294054"</f>
        <v>8869294054</v>
      </c>
      <c r="AN446">
        <v>2023</v>
      </c>
      <c r="AO446">
        <v>227</v>
      </c>
      <c r="AP446">
        <v>23.65</v>
      </c>
      <c r="AQ446">
        <v>0</v>
      </c>
      <c r="AR446">
        <v>170.9</v>
      </c>
      <c r="AS446" t="s">
        <v>194</v>
      </c>
      <c r="AT446">
        <v>21.5</v>
      </c>
      <c r="AU446">
        <v>2.15</v>
      </c>
      <c r="AV446">
        <v>2023</v>
      </c>
      <c r="AW446">
        <v>87</v>
      </c>
      <c r="AX446">
        <v>670</v>
      </c>
      <c r="AY446">
        <v>0</v>
      </c>
      <c r="AZ446" t="s">
        <v>853</v>
      </c>
      <c r="BA446">
        <v>23.65</v>
      </c>
      <c r="BB446" s="1">
        <v>44978</v>
      </c>
    </row>
    <row r="447" spans="1:54" x14ac:dyDescent="0.25">
      <c r="A447">
        <v>2023</v>
      </c>
      <c r="B447">
        <v>211</v>
      </c>
      <c r="C447" s="1">
        <v>44978</v>
      </c>
      <c r="D447">
        <v>2023</v>
      </c>
      <c r="E447">
        <v>2023</v>
      </c>
      <c r="F447">
        <v>14</v>
      </c>
      <c r="H447" t="s">
        <v>852</v>
      </c>
      <c r="I447">
        <v>130</v>
      </c>
      <c r="J447">
        <v>0</v>
      </c>
      <c r="K447" t="s">
        <v>128</v>
      </c>
      <c r="R447" t="s">
        <v>190</v>
      </c>
      <c r="S447" t="str">
        <f t="shared" si="45"/>
        <v>31</v>
      </c>
      <c r="T447" t="s">
        <v>122</v>
      </c>
      <c r="W447" t="s">
        <v>850</v>
      </c>
      <c r="Y447">
        <v>3344</v>
      </c>
      <c r="Z447" t="s">
        <v>192</v>
      </c>
      <c r="AB447" t="str">
        <f t="shared" si="46"/>
        <v>02616630022</v>
      </c>
      <c r="AC447" t="s">
        <v>116</v>
      </c>
      <c r="AD447" t="s">
        <v>193</v>
      </c>
      <c r="AF447">
        <v>2023</v>
      </c>
      <c r="AG447">
        <v>193</v>
      </c>
      <c r="AH447" t="str">
        <f t="shared" si="44"/>
        <v>1</v>
      </c>
      <c r="AI447" t="str">
        <f>"5230005540"</f>
        <v>5230005540</v>
      </c>
      <c r="AJ447" s="1">
        <v>44944</v>
      </c>
      <c r="AL447">
        <v>2.1800000000000002</v>
      </c>
      <c r="AM447" t="str">
        <f>"8868730561"</f>
        <v>8868730561</v>
      </c>
      <c r="AN447">
        <v>2023</v>
      </c>
      <c r="AO447">
        <v>227</v>
      </c>
      <c r="AP447">
        <v>2.1800000000000002</v>
      </c>
      <c r="AQ447">
        <v>0</v>
      </c>
      <c r="AR447">
        <v>170.9</v>
      </c>
      <c r="AS447" t="s">
        <v>194</v>
      </c>
      <c r="AT447">
        <v>1.98</v>
      </c>
      <c r="AU447">
        <v>0.2</v>
      </c>
      <c r="AV447">
        <v>2023</v>
      </c>
      <c r="AW447">
        <v>87</v>
      </c>
      <c r="AX447">
        <v>670</v>
      </c>
      <c r="AY447">
        <v>0</v>
      </c>
      <c r="AZ447" t="s">
        <v>853</v>
      </c>
      <c r="BA447">
        <v>2.1800000000000002</v>
      </c>
      <c r="BB447" s="1">
        <v>44978</v>
      </c>
    </row>
    <row r="448" spans="1:54" x14ac:dyDescent="0.25">
      <c r="A448">
        <v>2023</v>
      </c>
      <c r="B448">
        <v>211</v>
      </c>
      <c r="C448" s="1">
        <v>44978</v>
      </c>
      <c r="D448">
        <v>2023</v>
      </c>
      <c r="E448">
        <v>2023</v>
      </c>
      <c r="F448">
        <v>14</v>
      </c>
      <c r="H448" t="s">
        <v>852</v>
      </c>
      <c r="I448">
        <v>130</v>
      </c>
      <c r="J448">
        <v>0</v>
      </c>
      <c r="K448" t="s">
        <v>128</v>
      </c>
      <c r="R448" t="s">
        <v>190</v>
      </c>
      <c r="S448" t="str">
        <f t="shared" si="45"/>
        <v>31</v>
      </c>
      <c r="T448" t="s">
        <v>122</v>
      </c>
      <c r="W448" t="s">
        <v>850</v>
      </c>
      <c r="Y448">
        <v>3344</v>
      </c>
      <c r="Z448" t="s">
        <v>192</v>
      </c>
      <c r="AB448" t="str">
        <f t="shared" si="46"/>
        <v>02616630022</v>
      </c>
      <c r="AC448" t="s">
        <v>116</v>
      </c>
      <c r="AD448" t="s">
        <v>193</v>
      </c>
      <c r="AF448">
        <v>2023</v>
      </c>
      <c r="AG448">
        <v>195</v>
      </c>
      <c r="AH448" t="str">
        <f t="shared" si="44"/>
        <v>1</v>
      </c>
      <c r="AI448" t="str">
        <f>"5230005538"</f>
        <v>5230005538</v>
      </c>
      <c r="AJ448" s="1">
        <v>44944</v>
      </c>
      <c r="AL448">
        <v>2.17</v>
      </c>
      <c r="AM448" t="str">
        <f>"8868727163"</f>
        <v>8868727163</v>
      </c>
      <c r="AN448">
        <v>2023</v>
      </c>
      <c r="AO448">
        <v>227</v>
      </c>
      <c r="AP448">
        <v>2.17</v>
      </c>
      <c r="AQ448">
        <v>0</v>
      </c>
      <c r="AR448">
        <v>170.9</v>
      </c>
      <c r="AS448" t="s">
        <v>194</v>
      </c>
      <c r="AT448">
        <v>1.97</v>
      </c>
      <c r="AU448">
        <v>0.2</v>
      </c>
      <c r="AV448">
        <v>2023</v>
      </c>
      <c r="AW448">
        <v>87</v>
      </c>
      <c r="AX448">
        <v>670</v>
      </c>
      <c r="AY448">
        <v>0</v>
      </c>
      <c r="AZ448" t="s">
        <v>853</v>
      </c>
      <c r="BA448">
        <v>2.17</v>
      </c>
      <c r="BB448" s="1">
        <v>44978</v>
      </c>
    </row>
    <row r="449" spans="1:54" x14ac:dyDescent="0.25">
      <c r="A449">
        <v>2023</v>
      </c>
      <c r="B449">
        <v>211</v>
      </c>
      <c r="C449" s="1">
        <v>44978</v>
      </c>
      <c r="D449">
        <v>2023</v>
      </c>
      <c r="E449">
        <v>2023</v>
      </c>
      <c r="F449">
        <v>14</v>
      </c>
      <c r="H449" t="s">
        <v>852</v>
      </c>
      <c r="I449">
        <v>130</v>
      </c>
      <c r="J449">
        <v>0</v>
      </c>
      <c r="K449" t="s">
        <v>128</v>
      </c>
      <c r="R449" t="s">
        <v>190</v>
      </c>
      <c r="S449" t="str">
        <f t="shared" si="45"/>
        <v>31</v>
      </c>
      <c r="T449" t="s">
        <v>122</v>
      </c>
      <c r="W449" t="s">
        <v>850</v>
      </c>
      <c r="Y449">
        <v>3344</v>
      </c>
      <c r="Z449" t="s">
        <v>192</v>
      </c>
      <c r="AB449" t="str">
        <f t="shared" si="46"/>
        <v>02616630022</v>
      </c>
      <c r="AC449" t="s">
        <v>116</v>
      </c>
      <c r="AD449" t="s">
        <v>193</v>
      </c>
      <c r="AF449">
        <v>2023</v>
      </c>
      <c r="AG449">
        <v>197</v>
      </c>
      <c r="AH449" t="str">
        <f t="shared" si="44"/>
        <v>1</v>
      </c>
      <c r="AI449" t="str">
        <f>"5230005565"</f>
        <v>5230005565</v>
      </c>
      <c r="AJ449" s="1">
        <v>44944</v>
      </c>
      <c r="AL449">
        <v>12.93</v>
      </c>
      <c r="AM449" t="str">
        <f>"8868725769"</f>
        <v>8868725769</v>
      </c>
      <c r="AN449">
        <v>2023</v>
      </c>
      <c r="AO449">
        <v>227</v>
      </c>
      <c r="AP449">
        <v>12.93</v>
      </c>
      <c r="AQ449">
        <v>0</v>
      </c>
      <c r="AR449">
        <v>170.9</v>
      </c>
      <c r="AS449" t="s">
        <v>177</v>
      </c>
      <c r="AT449">
        <v>10.6</v>
      </c>
      <c r="AU449">
        <v>2.33</v>
      </c>
      <c r="AV449">
        <v>2023</v>
      </c>
      <c r="AW449">
        <v>87</v>
      </c>
      <c r="AX449">
        <v>670</v>
      </c>
      <c r="AY449">
        <v>0</v>
      </c>
      <c r="AZ449" t="s">
        <v>853</v>
      </c>
      <c r="BA449">
        <v>12.93</v>
      </c>
      <c r="BB449" s="1">
        <v>44978</v>
      </c>
    </row>
    <row r="450" spans="1:54" x14ac:dyDescent="0.25">
      <c r="A450">
        <v>2023</v>
      </c>
      <c r="B450">
        <v>211</v>
      </c>
      <c r="C450" s="1">
        <v>44978</v>
      </c>
      <c r="D450">
        <v>2023</v>
      </c>
      <c r="E450">
        <v>2023</v>
      </c>
      <c r="F450">
        <v>14</v>
      </c>
      <c r="H450" t="s">
        <v>852</v>
      </c>
      <c r="I450">
        <v>130</v>
      </c>
      <c r="J450">
        <v>0</v>
      </c>
      <c r="K450" t="s">
        <v>128</v>
      </c>
      <c r="R450" t="s">
        <v>190</v>
      </c>
      <c r="S450" t="str">
        <f t="shared" si="45"/>
        <v>31</v>
      </c>
      <c r="T450" t="s">
        <v>122</v>
      </c>
      <c r="W450" t="s">
        <v>850</v>
      </c>
      <c r="Y450">
        <v>3344</v>
      </c>
      <c r="Z450" t="s">
        <v>192</v>
      </c>
      <c r="AB450" t="str">
        <f t="shared" si="46"/>
        <v>02616630022</v>
      </c>
      <c r="AC450" t="s">
        <v>116</v>
      </c>
      <c r="AD450" t="s">
        <v>193</v>
      </c>
      <c r="AF450">
        <v>2023</v>
      </c>
      <c r="AG450">
        <v>199</v>
      </c>
      <c r="AH450" t="str">
        <f t="shared" si="44"/>
        <v>1</v>
      </c>
      <c r="AI450" t="str">
        <f>"5230005550"</f>
        <v>5230005550</v>
      </c>
      <c r="AJ450" s="1">
        <v>44944</v>
      </c>
      <c r="AL450">
        <v>2.17</v>
      </c>
      <c r="AM450" t="str">
        <f>"8868726070"</f>
        <v>8868726070</v>
      </c>
      <c r="AN450">
        <v>2023</v>
      </c>
      <c r="AO450">
        <v>227</v>
      </c>
      <c r="AP450">
        <v>2.17</v>
      </c>
      <c r="AQ450">
        <v>0</v>
      </c>
      <c r="AR450">
        <v>170.9</v>
      </c>
      <c r="AS450" t="s">
        <v>194</v>
      </c>
      <c r="AT450">
        <v>1.97</v>
      </c>
      <c r="AU450">
        <v>0.2</v>
      </c>
      <c r="AV450">
        <v>2023</v>
      </c>
      <c r="AW450">
        <v>87</v>
      </c>
      <c r="AX450">
        <v>670</v>
      </c>
      <c r="AY450">
        <v>0</v>
      </c>
      <c r="AZ450" t="s">
        <v>853</v>
      </c>
      <c r="BA450">
        <v>2.17</v>
      </c>
      <c r="BB450" s="1">
        <v>44978</v>
      </c>
    </row>
    <row r="451" spans="1:54" x14ac:dyDescent="0.25">
      <c r="A451">
        <v>2023</v>
      </c>
      <c r="B451">
        <v>211</v>
      </c>
      <c r="C451" s="1">
        <v>44978</v>
      </c>
      <c r="D451">
        <v>2023</v>
      </c>
      <c r="E451">
        <v>2023</v>
      </c>
      <c r="F451">
        <v>14</v>
      </c>
      <c r="H451" t="s">
        <v>852</v>
      </c>
      <c r="I451">
        <v>130</v>
      </c>
      <c r="J451">
        <v>0</v>
      </c>
      <c r="K451" t="s">
        <v>128</v>
      </c>
      <c r="R451" t="s">
        <v>190</v>
      </c>
      <c r="S451" t="str">
        <f t="shared" si="45"/>
        <v>31</v>
      </c>
      <c r="T451" t="s">
        <v>122</v>
      </c>
      <c r="W451" t="s">
        <v>850</v>
      </c>
      <c r="Y451">
        <v>3344</v>
      </c>
      <c r="Z451" t="s">
        <v>192</v>
      </c>
      <c r="AB451" t="str">
        <f t="shared" si="46"/>
        <v>02616630022</v>
      </c>
      <c r="AC451" t="s">
        <v>116</v>
      </c>
      <c r="AD451" t="s">
        <v>193</v>
      </c>
      <c r="AF451">
        <v>2023</v>
      </c>
      <c r="AG451">
        <v>202</v>
      </c>
      <c r="AH451" t="str">
        <f t="shared" si="44"/>
        <v>1</v>
      </c>
      <c r="AI451" t="str">
        <f>"5230005537"</f>
        <v>5230005537</v>
      </c>
      <c r="AJ451" s="1">
        <v>44944</v>
      </c>
      <c r="AL451">
        <v>2.1800000000000002</v>
      </c>
      <c r="AM451" t="str">
        <f>"8868724866"</f>
        <v>8868724866</v>
      </c>
      <c r="AN451">
        <v>2023</v>
      </c>
      <c r="AO451">
        <v>227</v>
      </c>
      <c r="AP451">
        <v>2.1800000000000002</v>
      </c>
      <c r="AQ451">
        <v>0</v>
      </c>
      <c r="AR451">
        <v>170.9</v>
      </c>
      <c r="AS451" t="s">
        <v>194</v>
      </c>
      <c r="AT451">
        <v>1.98</v>
      </c>
      <c r="AU451">
        <v>0.2</v>
      </c>
      <c r="AV451">
        <v>2023</v>
      </c>
      <c r="AW451">
        <v>87</v>
      </c>
      <c r="AX451">
        <v>670</v>
      </c>
      <c r="AY451">
        <v>0</v>
      </c>
      <c r="AZ451" t="s">
        <v>853</v>
      </c>
      <c r="BA451">
        <v>2.1800000000000002</v>
      </c>
      <c r="BB451" s="1">
        <v>44978</v>
      </c>
    </row>
    <row r="452" spans="1:54" x14ac:dyDescent="0.25">
      <c r="A452">
        <v>2023</v>
      </c>
      <c r="B452">
        <v>211</v>
      </c>
      <c r="C452" s="1">
        <v>44978</v>
      </c>
      <c r="D452">
        <v>2023</v>
      </c>
      <c r="E452">
        <v>2023</v>
      </c>
      <c r="F452">
        <v>14</v>
      </c>
      <c r="H452" t="s">
        <v>852</v>
      </c>
      <c r="I452">
        <v>130</v>
      </c>
      <c r="J452">
        <v>0</v>
      </c>
      <c r="K452" t="s">
        <v>128</v>
      </c>
      <c r="R452" t="s">
        <v>190</v>
      </c>
      <c r="S452" t="str">
        <f t="shared" si="45"/>
        <v>31</v>
      </c>
      <c r="T452" t="s">
        <v>122</v>
      </c>
      <c r="W452" t="s">
        <v>850</v>
      </c>
      <c r="Y452">
        <v>3344</v>
      </c>
      <c r="Z452" t="s">
        <v>192</v>
      </c>
      <c r="AB452" t="str">
        <f t="shared" si="46"/>
        <v>02616630022</v>
      </c>
      <c r="AC452" t="s">
        <v>116</v>
      </c>
      <c r="AD452" t="s">
        <v>193</v>
      </c>
      <c r="AF452">
        <v>2023</v>
      </c>
      <c r="AG452">
        <v>203</v>
      </c>
      <c r="AH452" t="str">
        <f t="shared" si="44"/>
        <v>1</v>
      </c>
      <c r="AI452" t="str">
        <f>"5230005562"</f>
        <v>5230005562</v>
      </c>
      <c r="AJ452" s="1">
        <v>44944</v>
      </c>
      <c r="AL452">
        <v>30.05</v>
      </c>
      <c r="AM452" t="str">
        <f>"8868733767"</f>
        <v>8868733767</v>
      </c>
      <c r="AN452">
        <v>2023</v>
      </c>
      <c r="AO452">
        <v>227</v>
      </c>
      <c r="AP452">
        <v>30.05</v>
      </c>
      <c r="AQ452">
        <v>0</v>
      </c>
      <c r="AR452">
        <v>170.9</v>
      </c>
      <c r="AS452" t="s">
        <v>194</v>
      </c>
      <c r="AT452">
        <v>27.32</v>
      </c>
      <c r="AU452">
        <v>2.73</v>
      </c>
      <c r="AV452">
        <v>2023</v>
      </c>
      <c r="AW452">
        <v>87</v>
      </c>
      <c r="AX452">
        <v>670</v>
      </c>
      <c r="AY452">
        <v>0</v>
      </c>
      <c r="AZ452" t="s">
        <v>853</v>
      </c>
      <c r="BA452">
        <v>30.05</v>
      </c>
      <c r="BB452" s="1">
        <v>44978</v>
      </c>
    </row>
    <row r="453" spans="1:54" x14ac:dyDescent="0.25">
      <c r="A453">
        <v>2023</v>
      </c>
      <c r="B453">
        <v>211</v>
      </c>
      <c r="C453" s="1">
        <v>44978</v>
      </c>
      <c r="D453">
        <v>2023</v>
      </c>
      <c r="E453">
        <v>2023</v>
      </c>
      <c r="F453">
        <v>14</v>
      </c>
      <c r="H453" t="s">
        <v>852</v>
      </c>
      <c r="I453">
        <v>130</v>
      </c>
      <c r="J453">
        <v>0</v>
      </c>
      <c r="K453" t="s">
        <v>128</v>
      </c>
      <c r="R453" t="s">
        <v>190</v>
      </c>
      <c r="S453" t="str">
        <f t="shared" si="45"/>
        <v>31</v>
      </c>
      <c r="T453" t="s">
        <v>122</v>
      </c>
      <c r="W453" t="s">
        <v>850</v>
      </c>
      <c r="Y453">
        <v>3344</v>
      </c>
      <c r="Z453" t="s">
        <v>192</v>
      </c>
      <c r="AB453" t="str">
        <f t="shared" si="46"/>
        <v>02616630022</v>
      </c>
      <c r="AC453" t="s">
        <v>116</v>
      </c>
      <c r="AD453" t="s">
        <v>193</v>
      </c>
      <c r="AF453">
        <v>2023</v>
      </c>
      <c r="AG453">
        <v>208</v>
      </c>
      <c r="AH453" t="str">
        <f t="shared" si="44"/>
        <v>1</v>
      </c>
      <c r="AI453" t="str">
        <f>"5230005551"</f>
        <v>5230005551</v>
      </c>
      <c r="AJ453" s="1">
        <v>44944</v>
      </c>
      <c r="AL453">
        <v>-0.18</v>
      </c>
      <c r="AM453" t="str">
        <f>"8868724683"</f>
        <v>8868724683</v>
      </c>
      <c r="AN453">
        <v>2023</v>
      </c>
      <c r="AO453">
        <v>227</v>
      </c>
      <c r="AP453">
        <v>-0.18</v>
      </c>
      <c r="AQ453">
        <v>0</v>
      </c>
      <c r="AR453">
        <v>170.9</v>
      </c>
      <c r="AS453" t="s">
        <v>194</v>
      </c>
      <c r="AT453">
        <v>-0.16</v>
      </c>
      <c r="AU453">
        <v>-0.02</v>
      </c>
      <c r="AV453">
        <v>2023</v>
      </c>
      <c r="AW453">
        <v>87</v>
      </c>
      <c r="AX453">
        <v>670</v>
      </c>
      <c r="AY453">
        <v>0</v>
      </c>
      <c r="AZ453" t="s">
        <v>853</v>
      </c>
      <c r="BA453">
        <v>-0.18</v>
      </c>
      <c r="BB453" s="1">
        <v>44978</v>
      </c>
    </row>
    <row r="454" spans="1:54" x14ac:dyDescent="0.25">
      <c r="A454">
        <v>2023</v>
      </c>
      <c r="B454">
        <v>211</v>
      </c>
      <c r="C454" s="1">
        <v>44978</v>
      </c>
      <c r="D454">
        <v>2023</v>
      </c>
      <c r="E454">
        <v>2023</v>
      </c>
      <c r="F454">
        <v>14</v>
      </c>
      <c r="H454" t="s">
        <v>852</v>
      </c>
      <c r="I454">
        <v>130</v>
      </c>
      <c r="J454">
        <v>0</v>
      </c>
      <c r="K454" t="s">
        <v>128</v>
      </c>
      <c r="R454" t="s">
        <v>190</v>
      </c>
      <c r="S454" t="str">
        <f t="shared" si="45"/>
        <v>31</v>
      </c>
      <c r="T454" t="s">
        <v>122</v>
      </c>
      <c r="W454" t="s">
        <v>850</v>
      </c>
      <c r="Y454">
        <v>3344</v>
      </c>
      <c r="Z454" t="s">
        <v>192</v>
      </c>
      <c r="AB454" t="str">
        <f t="shared" si="46"/>
        <v>02616630022</v>
      </c>
      <c r="AC454" t="s">
        <v>116</v>
      </c>
      <c r="AD454" t="s">
        <v>193</v>
      </c>
      <c r="AF454">
        <v>2023</v>
      </c>
      <c r="AG454">
        <v>215</v>
      </c>
      <c r="AH454" t="str">
        <f t="shared" si="44"/>
        <v>1</v>
      </c>
      <c r="AI454" t="str">
        <f>"5230005546"</f>
        <v>5230005546</v>
      </c>
      <c r="AJ454" s="1">
        <v>44944</v>
      </c>
      <c r="AL454">
        <v>10.59</v>
      </c>
      <c r="AM454" t="str">
        <f>"8868725692"</f>
        <v>8868725692</v>
      </c>
      <c r="AN454">
        <v>2023</v>
      </c>
      <c r="AO454">
        <v>227</v>
      </c>
      <c r="AP454">
        <v>10.59</v>
      </c>
      <c r="AQ454">
        <v>0</v>
      </c>
      <c r="AR454">
        <v>170.9</v>
      </c>
      <c r="AS454" t="s">
        <v>194</v>
      </c>
      <c r="AT454">
        <v>9.6300000000000008</v>
      </c>
      <c r="AU454">
        <v>0.96</v>
      </c>
      <c r="AV454">
        <v>2023</v>
      </c>
      <c r="AW454">
        <v>87</v>
      </c>
      <c r="AX454">
        <v>670</v>
      </c>
      <c r="AY454">
        <v>0</v>
      </c>
      <c r="AZ454" t="s">
        <v>853</v>
      </c>
      <c r="BA454">
        <v>10.59</v>
      </c>
      <c r="BB454" s="1">
        <v>44978</v>
      </c>
    </row>
    <row r="455" spans="1:54" x14ac:dyDescent="0.25">
      <c r="A455">
        <v>2023</v>
      </c>
      <c r="B455">
        <v>211</v>
      </c>
      <c r="C455" s="1">
        <v>44978</v>
      </c>
      <c r="D455">
        <v>2023</v>
      </c>
      <c r="E455">
        <v>2023</v>
      </c>
      <c r="F455">
        <v>14</v>
      </c>
      <c r="H455" t="s">
        <v>852</v>
      </c>
      <c r="I455">
        <v>130</v>
      </c>
      <c r="J455">
        <v>0</v>
      </c>
      <c r="K455" t="s">
        <v>128</v>
      </c>
      <c r="R455" t="s">
        <v>190</v>
      </c>
      <c r="S455" t="str">
        <f t="shared" si="45"/>
        <v>31</v>
      </c>
      <c r="T455" t="s">
        <v>122</v>
      </c>
      <c r="W455" t="s">
        <v>850</v>
      </c>
      <c r="Y455">
        <v>3344</v>
      </c>
      <c r="Z455" t="s">
        <v>192</v>
      </c>
      <c r="AB455" t="str">
        <f t="shared" si="46"/>
        <v>02616630022</v>
      </c>
      <c r="AC455" t="s">
        <v>116</v>
      </c>
      <c r="AD455" t="s">
        <v>193</v>
      </c>
      <c r="AF455">
        <v>2023</v>
      </c>
      <c r="AG455">
        <v>217</v>
      </c>
      <c r="AH455" t="str">
        <f t="shared" si="44"/>
        <v>1</v>
      </c>
      <c r="AI455" t="str">
        <f>"5230005545"</f>
        <v>5230005545</v>
      </c>
      <c r="AJ455" s="1">
        <v>44944</v>
      </c>
      <c r="AL455">
        <v>29.52</v>
      </c>
      <c r="AM455" t="str">
        <f>"8868722989"</f>
        <v>8868722989</v>
      </c>
      <c r="AN455">
        <v>2023</v>
      </c>
      <c r="AO455">
        <v>227</v>
      </c>
      <c r="AP455">
        <v>29.52</v>
      </c>
      <c r="AQ455">
        <v>0</v>
      </c>
      <c r="AR455">
        <v>170.9</v>
      </c>
      <c r="AS455" t="s">
        <v>194</v>
      </c>
      <c r="AT455">
        <v>26.84</v>
      </c>
      <c r="AU455">
        <v>2.68</v>
      </c>
      <c r="AV455">
        <v>2023</v>
      </c>
      <c r="AW455">
        <v>87</v>
      </c>
      <c r="AX455">
        <v>670</v>
      </c>
      <c r="AY455">
        <v>0</v>
      </c>
      <c r="AZ455" t="s">
        <v>853</v>
      </c>
      <c r="BA455">
        <v>29.52</v>
      </c>
      <c r="BB455" s="1">
        <v>44978</v>
      </c>
    </row>
    <row r="456" spans="1:54" x14ac:dyDescent="0.25">
      <c r="A456">
        <v>2023</v>
      </c>
      <c r="B456">
        <v>211</v>
      </c>
      <c r="C456" s="1">
        <v>44978</v>
      </c>
      <c r="D456">
        <v>2023</v>
      </c>
      <c r="E456">
        <v>2023</v>
      </c>
      <c r="F456">
        <v>14</v>
      </c>
      <c r="H456" t="s">
        <v>852</v>
      </c>
      <c r="I456">
        <v>130</v>
      </c>
      <c r="J456">
        <v>0</v>
      </c>
      <c r="K456" t="s">
        <v>128</v>
      </c>
      <c r="R456" t="s">
        <v>190</v>
      </c>
      <c r="S456" t="str">
        <f t="shared" si="45"/>
        <v>31</v>
      </c>
      <c r="T456" t="s">
        <v>122</v>
      </c>
      <c r="W456" t="s">
        <v>850</v>
      </c>
      <c r="Y456">
        <v>3344</v>
      </c>
      <c r="Z456" t="s">
        <v>192</v>
      </c>
      <c r="AB456" t="str">
        <f t="shared" si="46"/>
        <v>02616630022</v>
      </c>
      <c r="AC456" t="s">
        <v>116</v>
      </c>
      <c r="AD456" t="s">
        <v>193</v>
      </c>
      <c r="AF456">
        <v>2023</v>
      </c>
      <c r="AG456">
        <v>218</v>
      </c>
      <c r="AH456" t="str">
        <f t="shared" si="44"/>
        <v>1</v>
      </c>
      <c r="AI456" t="str">
        <f>"5230005563"</f>
        <v>5230005563</v>
      </c>
      <c r="AJ456" s="1">
        <v>44944</v>
      </c>
      <c r="AL456">
        <v>2.1800000000000002</v>
      </c>
      <c r="AM456" t="str">
        <f>"8868733097"</f>
        <v>8868733097</v>
      </c>
      <c r="AN456">
        <v>2023</v>
      </c>
      <c r="AO456">
        <v>227</v>
      </c>
      <c r="AP456">
        <v>2.1800000000000002</v>
      </c>
      <c r="AQ456">
        <v>0</v>
      </c>
      <c r="AR456">
        <v>170.9</v>
      </c>
      <c r="AS456" t="s">
        <v>194</v>
      </c>
      <c r="AT456">
        <v>1.98</v>
      </c>
      <c r="AU456">
        <v>0.2</v>
      </c>
      <c r="AV456">
        <v>2023</v>
      </c>
      <c r="AW456">
        <v>87</v>
      </c>
      <c r="AX456">
        <v>670</v>
      </c>
      <c r="AY456">
        <v>0</v>
      </c>
      <c r="AZ456" t="s">
        <v>853</v>
      </c>
      <c r="BA456">
        <v>2.1800000000000002</v>
      </c>
      <c r="BB456" s="1">
        <v>44978</v>
      </c>
    </row>
    <row r="457" spans="1:54" x14ac:dyDescent="0.25">
      <c r="A457">
        <v>2023</v>
      </c>
      <c r="B457">
        <v>211</v>
      </c>
      <c r="C457" s="1">
        <v>44978</v>
      </c>
      <c r="D457">
        <v>2023</v>
      </c>
      <c r="E457">
        <v>2023</v>
      </c>
      <c r="F457">
        <v>14</v>
      </c>
      <c r="H457" t="s">
        <v>852</v>
      </c>
      <c r="I457">
        <v>130</v>
      </c>
      <c r="J457">
        <v>0</v>
      </c>
      <c r="K457" t="s">
        <v>128</v>
      </c>
      <c r="R457" t="s">
        <v>190</v>
      </c>
      <c r="S457" t="str">
        <f t="shared" si="45"/>
        <v>31</v>
      </c>
      <c r="T457" t="s">
        <v>122</v>
      </c>
      <c r="W457" t="s">
        <v>850</v>
      </c>
      <c r="Y457">
        <v>3344</v>
      </c>
      <c r="Z457" t="s">
        <v>192</v>
      </c>
      <c r="AB457" t="str">
        <f t="shared" si="46"/>
        <v>02616630022</v>
      </c>
      <c r="AC457" t="s">
        <v>116</v>
      </c>
      <c r="AD457" t="s">
        <v>193</v>
      </c>
      <c r="AF457">
        <v>2023</v>
      </c>
      <c r="AG457">
        <v>223</v>
      </c>
      <c r="AH457" t="str">
        <f t="shared" si="44"/>
        <v>1</v>
      </c>
      <c r="AI457" t="str">
        <f>"5230005623"</f>
        <v>5230005623</v>
      </c>
      <c r="AJ457" s="1">
        <v>44944</v>
      </c>
      <c r="AL457">
        <v>6.07</v>
      </c>
      <c r="AM457" t="str">
        <f>"8869308965"</f>
        <v>8869308965</v>
      </c>
      <c r="AN457">
        <v>2023</v>
      </c>
      <c r="AO457">
        <v>227</v>
      </c>
      <c r="AP457">
        <v>6.07</v>
      </c>
      <c r="AQ457">
        <v>0</v>
      </c>
      <c r="AR457">
        <v>170.9</v>
      </c>
      <c r="AS457" t="s">
        <v>194</v>
      </c>
      <c r="AT457">
        <v>5.52</v>
      </c>
      <c r="AU457">
        <v>0.55000000000000004</v>
      </c>
      <c r="AV457">
        <v>2023</v>
      </c>
      <c r="AW457">
        <v>87</v>
      </c>
      <c r="AX457">
        <v>670</v>
      </c>
      <c r="AY457">
        <v>0</v>
      </c>
      <c r="AZ457" t="s">
        <v>853</v>
      </c>
      <c r="BA457">
        <v>6.07</v>
      </c>
      <c r="BB457" s="1">
        <v>44978</v>
      </c>
    </row>
    <row r="458" spans="1:54" x14ac:dyDescent="0.25">
      <c r="A458">
        <v>2023</v>
      </c>
      <c r="B458">
        <v>211</v>
      </c>
      <c r="C458" s="1">
        <v>44978</v>
      </c>
      <c r="D458">
        <v>2023</v>
      </c>
      <c r="E458">
        <v>2023</v>
      </c>
      <c r="F458">
        <v>14</v>
      </c>
      <c r="H458" t="s">
        <v>852</v>
      </c>
      <c r="I458">
        <v>130</v>
      </c>
      <c r="J458">
        <v>0</v>
      </c>
      <c r="K458" t="s">
        <v>128</v>
      </c>
      <c r="R458" t="s">
        <v>190</v>
      </c>
      <c r="S458" t="str">
        <f t="shared" si="45"/>
        <v>31</v>
      </c>
      <c r="T458" t="s">
        <v>122</v>
      </c>
      <c r="W458" t="s">
        <v>850</v>
      </c>
      <c r="Y458">
        <v>3344</v>
      </c>
      <c r="Z458" t="s">
        <v>192</v>
      </c>
      <c r="AB458" t="str">
        <f t="shared" si="46"/>
        <v>02616630022</v>
      </c>
      <c r="AC458" t="s">
        <v>116</v>
      </c>
      <c r="AD458" t="s">
        <v>193</v>
      </c>
      <c r="AF458">
        <v>2023</v>
      </c>
      <c r="AG458">
        <v>235</v>
      </c>
      <c r="AH458" t="str">
        <f t="shared" si="44"/>
        <v>1</v>
      </c>
      <c r="AI458" t="str">
        <f>"5230005625"</f>
        <v>5230005625</v>
      </c>
      <c r="AJ458" s="1">
        <v>44944</v>
      </c>
      <c r="AL458">
        <v>9.5500000000000007</v>
      </c>
      <c r="AM458" t="str">
        <f>"8869316269"</f>
        <v>8869316269</v>
      </c>
      <c r="AN458">
        <v>2023</v>
      </c>
      <c r="AO458">
        <v>227</v>
      </c>
      <c r="AP458">
        <v>9.5500000000000007</v>
      </c>
      <c r="AQ458">
        <v>0</v>
      </c>
      <c r="AR458">
        <v>170.9</v>
      </c>
      <c r="AS458" t="s">
        <v>194</v>
      </c>
      <c r="AT458">
        <v>8.68</v>
      </c>
      <c r="AU458">
        <v>0.87</v>
      </c>
      <c r="AV458">
        <v>2023</v>
      </c>
      <c r="AW458">
        <v>87</v>
      </c>
      <c r="AX458">
        <v>670</v>
      </c>
      <c r="AY458">
        <v>0</v>
      </c>
      <c r="AZ458" t="s">
        <v>853</v>
      </c>
      <c r="BA458">
        <v>9.5500000000000007</v>
      </c>
      <c r="BB458" s="1">
        <v>44978</v>
      </c>
    </row>
    <row r="459" spans="1:54" x14ac:dyDescent="0.25">
      <c r="A459">
        <v>2023</v>
      </c>
      <c r="B459">
        <v>211</v>
      </c>
      <c r="C459" s="1">
        <v>44978</v>
      </c>
      <c r="D459">
        <v>2023</v>
      </c>
      <c r="E459">
        <v>2023</v>
      </c>
      <c r="F459">
        <v>14</v>
      </c>
      <c r="H459" t="s">
        <v>852</v>
      </c>
      <c r="I459">
        <v>130</v>
      </c>
      <c r="J459">
        <v>0</v>
      </c>
      <c r="K459" t="s">
        <v>128</v>
      </c>
      <c r="R459" t="s">
        <v>190</v>
      </c>
      <c r="S459" t="str">
        <f t="shared" si="45"/>
        <v>31</v>
      </c>
      <c r="T459" t="s">
        <v>122</v>
      </c>
      <c r="W459" t="s">
        <v>850</v>
      </c>
      <c r="Y459">
        <v>3344</v>
      </c>
      <c r="Z459" t="s">
        <v>192</v>
      </c>
      <c r="AB459" t="str">
        <f t="shared" si="46"/>
        <v>02616630022</v>
      </c>
      <c r="AC459" t="s">
        <v>116</v>
      </c>
      <c r="AD459" t="s">
        <v>193</v>
      </c>
      <c r="AF459">
        <v>2023</v>
      </c>
      <c r="AG459">
        <v>239</v>
      </c>
      <c r="AH459" t="str">
        <f t="shared" si="44"/>
        <v>1</v>
      </c>
      <c r="AI459" t="str">
        <f>"5230005646"</f>
        <v>5230005646</v>
      </c>
      <c r="AJ459" s="1">
        <v>44944</v>
      </c>
      <c r="AL459">
        <v>10.59</v>
      </c>
      <c r="AM459" t="str">
        <f>"8869305172"</f>
        <v>8869305172</v>
      </c>
      <c r="AN459">
        <v>2023</v>
      </c>
      <c r="AO459">
        <v>227</v>
      </c>
      <c r="AP459">
        <v>10.59</v>
      </c>
      <c r="AQ459">
        <v>0</v>
      </c>
      <c r="AR459">
        <v>170.9</v>
      </c>
      <c r="AS459" t="s">
        <v>194</v>
      </c>
      <c r="AT459">
        <v>9.6300000000000008</v>
      </c>
      <c r="AU459">
        <v>0.96</v>
      </c>
      <c r="AV459">
        <v>2023</v>
      </c>
      <c r="AW459">
        <v>87</v>
      </c>
      <c r="AX459">
        <v>670</v>
      </c>
      <c r="AY459">
        <v>0</v>
      </c>
      <c r="AZ459" t="s">
        <v>853</v>
      </c>
      <c r="BA459">
        <v>10.59</v>
      </c>
      <c r="BB459" s="1">
        <v>44978</v>
      </c>
    </row>
    <row r="460" spans="1:54" x14ac:dyDescent="0.25">
      <c r="A460">
        <v>2023</v>
      </c>
      <c r="B460">
        <v>211</v>
      </c>
      <c r="C460" s="1">
        <v>44978</v>
      </c>
      <c r="D460">
        <v>2023</v>
      </c>
      <c r="E460">
        <v>2023</v>
      </c>
      <c r="F460">
        <v>14</v>
      </c>
      <c r="H460" t="s">
        <v>852</v>
      </c>
      <c r="I460">
        <v>130</v>
      </c>
      <c r="J460">
        <v>0</v>
      </c>
      <c r="K460" t="s">
        <v>128</v>
      </c>
      <c r="R460" t="s">
        <v>190</v>
      </c>
      <c r="S460" t="str">
        <f t="shared" si="45"/>
        <v>31</v>
      </c>
      <c r="T460" t="s">
        <v>122</v>
      </c>
      <c r="W460" t="s">
        <v>850</v>
      </c>
      <c r="Y460">
        <v>3344</v>
      </c>
      <c r="Z460" t="s">
        <v>192</v>
      </c>
      <c r="AB460" t="str">
        <f t="shared" si="46"/>
        <v>02616630022</v>
      </c>
      <c r="AC460" t="s">
        <v>116</v>
      </c>
      <c r="AD460" t="s">
        <v>193</v>
      </c>
      <c r="AF460">
        <v>2023</v>
      </c>
      <c r="AG460">
        <v>241</v>
      </c>
      <c r="AH460" t="str">
        <f t="shared" si="44"/>
        <v>1</v>
      </c>
      <c r="AI460" t="str">
        <f>"5230005605"</f>
        <v>5230005605</v>
      </c>
      <c r="AJ460" s="1">
        <v>44944</v>
      </c>
      <c r="AL460">
        <v>796.64</v>
      </c>
      <c r="AM460" t="str">
        <f>"8869294581"</f>
        <v>8869294581</v>
      </c>
      <c r="AN460">
        <v>2023</v>
      </c>
      <c r="AO460">
        <v>227</v>
      </c>
      <c r="AP460">
        <v>796.64</v>
      </c>
      <c r="AQ460">
        <v>0</v>
      </c>
      <c r="AR460">
        <v>170.9</v>
      </c>
      <c r="AS460" t="s">
        <v>194</v>
      </c>
      <c r="AT460">
        <v>724.22</v>
      </c>
      <c r="AU460">
        <v>72.42</v>
      </c>
      <c r="AV460">
        <v>2023</v>
      </c>
      <c r="AW460">
        <v>87</v>
      </c>
      <c r="AX460">
        <v>670</v>
      </c>
      <c r="AY460">
        <v>0</v>
      </c>
      <c r="AZ460" t="s">
        <v>853</v>
      </c>
      <c r="BA460">
        <v>796.64</v>
      </c>
      <c r="BB460" s="1">
        <v>44978</v>
      </c>
    </row>
    <row r="461" spans="1:54" x14ac:dyDescent="0.25">
      <c r="A461">
        <v>2023</v>
      </c>
      <c r="B461">
        <v>211</v>
      </c>
      <c r="C461" s="1">
        <v>44978</v>
      </c>
      <c r="D461">
        <v>2023</v>
      </c>
      <c r="E461">
        <v>2023</v>
      </c>
      <c r="F461">
        <v>14</v>
      </c>
      <c r="H461" t="s">
        <v>852</v>
      </c>
      <c r="I461">
        <v>130</v>
      </c>
      <c r="J461">
        <v>0</v>
      </c>
      <c r="K461" t="s">
        <v>128</v>
      </c>
      <c r="R461" t="s">
        <v>190</v>
      </c>
      <c r="S461" t="str">
        <f t="shared" si="45"/>
        <v>31</v>
      </c>
      <c r="T461" t="s">
        <v>122</v>
      </c>
      <c r="W461" t="s">
        <v>850</v>
      </c>
      <c r="Y461">
        <v>3344</v>
      </c>
      <c r="Z461" t="s">
        <v>192</v>
      </c>
      <c r="AB461" t="str">
        <f t="shared" si="46"/>
        <v>02616630022</v>
      </c>
      <c r="AC461" t="s">
        <v>116</v>
      </c>
      <c r="AD461" t="s">
        <v>193</v>
      </c>
      <c r="AF461">
        <v>2023</v>
      </c>
      <c r="AG461">
        <v>245</v>
      </c>
      <c r="AH461" t="str">
        <f t="shared" si="44"/>
        <v>1</v>
      </c>
      <c r="AI461" t="str">
        <f>"5230005599"</f>
        <v>5230005599</v>
      </c>
      <c r="AJ461" s="1">
        <v>44944</v>
      </c>
      <c r="AL461">
        <v>29.52</v>
      </c>
      <c r="AM461" t="str">
        <f>"8869246088"</f>
        <v>8869246088</v>
      </c>
      <c r="AN461">
        <v>2023</v>
      </c>
      <c r="AO461">
        <v>227</v>
      </c>
      <c r="AP461">
        <v>29.52</v>
      </c>
      <c r="AQ461">
        <v>0</v>
      </c>
      <c r="AR461">
        <v>170.9</v>
      </c>
      <c r="AS461" t="s">
        <v>194</v>
      </c>
      <c r="AT461">
        <v>26.84</v>
      </c>
      <c r="AU461">
        <v>2.68</v>
      </c>
      <c r="AV461">
        <v>2023</v>
      </c>
      <c r="AW461">
        <v>87</v>
      </c>
      <c r="AX461">
        <v>670</v>
      </c>
      <c r="AY461">
        <v>0</v>
      </c>
      <c r="AZ461" t="s">
        <v>853</v>
      </c>
      <c r="BA461">
        <v>29.52</v>
      </c>
      <c r="BB461" s="1">
        <v>44978</v>
      </c>
    </row>
    <row r="462" spans="1:54" x14ac:dyDescent="0.25">
      <c r="A462">
        <v>2023</v>
      </c>
      <c r="B462">
        <v>211</v>
      </c>
      <c r="C462" s="1">
        <v>44978</v>
      </c>
      <c r="D462">
        <v>2023</v>
      </c>
      <c r="E462">
        <v>2023</v>
      </c>
      <c r="F462">
        <v>14</v>
      </c>
      <c r="H462" t="s">
        <v>852</v>
      </c>
      <c r="I462">
        <v>130</v>
      </c>
      <c r="J462">
        <v>0</v>
      </c>
      <c r="K462" t="s">
        <v>128</v>
      </c>
      <c r="R462" t="s">
        <v>190</v>
      </c>
      <c r="S462" t="str">
        <f t="shared" si="45"/>
        <v>31</v>
      </c>
      <c r="T462" t="s">
        <v>122</v>
      </c>
      <c r="W462" t="s">
        <v>850</v>
      </c>
      <c r="Y462">
        <v>3344</v>
      </c>
      <c r="Z462" t="s">
        <v>192</v>
      </c>
      <c r="AB462" t="str">
        <f t="shared" si="46"/>
        <v>02616630022</v>
      </c>
      <c r="AC462" t="s">
        <v>116</v>
      </c>
      <c r="AD462" t="s">
        <v>193</v>
      </c>
      <c r="AF462">
        <v>2023</v>
      </c>
      <c r="AG462">
        <v>246</v>
      </c>
      <c r="AH462" t="str">
        <f t="shared" si="44"/>
        <v>1</v>
      </c>
      <c r="AI462" t="str">
        <f>"5230005628"</f>
        <v>5230005628</v>
      </c>
      <c r="AJ462" s="1">
        <v>44944</v>
      </c>
      <c r="AL462">
        <v>43.13</v>
      </c>
      <c r="AM462" t="str">
        <f>"8869316778"</f>
        <v>8869316778</v>
      </c>
      <c r="AN462">
        <v>2023</v>
      </c>
      <c r="AO462">
        <v>227</v>
      </c>
      <c r="AP462">
        <v>43.13</v>
      </c>
      <c r="AQ462">
        <v>0</v>
      </c>
      <c r="AR462">
        <v>170.9</v>
      </c>
      <c r="AS462" t="s">
        <v>194</v>
      </c>
      <c r="AT462">
        <v>39.21</v>
      </c>
      <c r="AU462">
        <v>3.92</v>
      </c>
      <c r="AV462">
        <v>2023</v>
      </c>
      <c r="AW462">
        <v>87</v>
      </c>
      <c r="AX462">
        <v>670</v>
      </c>
      <c r="AY462">
        <v>0</v>
      </c>
      <c r="AZ462" t="s">
        <v>853</v>
      </c>
      <c r="BA462">
        <v>43.13</v>
      </c>
      <c r="BB462" s="1">
        <v>44978</v>
      </c>
    </row>
    <row r="463" spans="1:54" x14ac:dyDescent="0.25">
      <c r="A463">
        <v>2023</v>
      </c>
      <c r="B463">
        <v>211</v>
      </c>
      <c r="C463" s="1">
        <v>44978</v>
      </c>
      <c r="D463">
        <v>2023</v>
      </c>
      <c r="E463">
        <v>2023</v>
      </c>
      <c r="F463">
        <v>14</v>
      </c>
      <c r="H463" t="s">
        <v>852</v>
      </c>
      <c r="I463">
        <v>130</v>
      </c>
      <c r="J463">
        <v>0</v>
      </c>
      <c r="K463" t="s">
        <v>128</v>
      </c>
      <c r="R463" t="s">
        <v>190</v>
      </c>
      <c r="S463" t="str">
        <f t="shared" si="45"/>
        <v>31</v>
      </c>
      <c r="T463" t="s">
        <v>122</v>
      </c>
      <c r="W463" t="s">
        <v>850</v>
      </c>
      <c r="Y463">
        <v>3344</v>
      </c>
      <c r="Z463" t="s">
        <v>192</v>
      </c>
      <c r="AB463" t="str">
        <f t="shared" si="46"/>
        <v>02616630022</v>
      </c>
      <c r="AC463" t="s">
        <v>116</v>
      </c>
      <c r="AD463" t="s">
        <v>193</v>
      </c>
      <c r="AF463">
        <v>2023</v>
      </c>
      <c r="AG463">
        <v>247</v>
      </c>
      <c r="AH463" t="str">
        <f t="shared" si="44"/>
        <v>1</v>
      </c>
      <c r="AI463" t="str">
        <f>"5230005606"</f>
        <v>5230005606</v>
      </c>
      <c r="AJ463" s="1">
        <v>44944</v>
      </c>
      <c r="AL463">
        <v>12.49</v>
      </c>
      <c r="AM463" t="str">
        <f>"8869317889"</f>
        <v>8869317889</v>
      </c>
      <c r="AN463">
        <v>2023</v>
      </c>
      <c r="AO463">
        <v>227</v>
      </c>
      <c r="AP463">
        <v>12.49</v>
      </c>
      <c r="AQ463">
        <v>0</v>
      </c>
      <c r="AR463">
        <v>170.9</v>
      </c>
      <c r="AS463" t="s">
        <v>194</v>
      </c>
      <c r="AT463">
        <v>11.35</v>
      </c>
      <c r="AU463">
        <v>1.1399999999999999</v>
      </c>
      <c r="AV463">
        <v>2023</v>
      </c>
      <c r="AW463">
        <v>87</v>
      </c>
      <c r="AX463">
        <v>670</v>
      </c>
      <c r="AY463">
        <v>0</v>
      </c>
      <c r="AZ463" t="s">
        <v>853</v>
      </c>
      <c r="BA463">
        <v>12.49</v>
      </c>
      <c r="BB463" s="1">
        <v>44978</v>
      </c>
    </row>
    <row r="464" spans="1:54" x14ac:dyDescent="0.25">
      <c r="A464">
        <v>2023</v>
      </c>
      <c r="B464">
        <v>211</v>
      </c>
      <c r="C464" s="1">
        <v>44978</v>
      </c>
      <c r="D464">
        <v>2023</v>
      </c>
      <c r="E464">
        <v>2023</v>
      </c>
      <c r="F464">
        <v>14</v>
      </c>
      <c r="H464" t="s">
        <v>852</v>
      </c>
      <c r="I464">
        <v>130</v>
      </c>
      <c r="J464">
        <v>0</v>
      </c>
      <c r="K464" t="s">
        <v>128</v>
      </c>
      <c r="R464" t="s">
        <v>190</v>
      </c>
      <c r="S464" t="str">
        <f t="shared" si="45"/>
        <v>31</v>
      </c>
      <c r="T464" t="s">
        <v>122</v>
      </c>
      <c r="W464" t="s">
        <v>850</v>
      </c>
      <c r="Y464">
        <v>3344</v>
      </c>
      <c r="Z464" t="s">
        <v>192</v>
      </c>
      <c r="AB464" t="str">
        <f t="shared" si="46"/>
        <v>02616630022</v>
      </c>
      <c r="AC464" t="s">
        <v>116</v>
      </c>
      <c r="AD464" t="s">
        <v>193</v>
      </c>
      <c r="AF464">
        <v>2023</v>
      </c>
      <c r="AG464">
        <v>255</v>
      </c>
      <c r="AH464" t="str">
        <f t="shared" si="44"/>
        <v>1</v>
      </c>
      <c r="AI464" t="str">
        <f>"5230005627"</f>
        <v>5230005627</v>
      </c>
      <c r="AJ464" s="1">
        <v>44944</v>
      </c>
      <c r="AL464">
        <v>14.47</v>
      </c>
      <c r="AM464" t="str">
        <f>"8869293798"</f>
        <v>8869293798</v>
      </c>
      <c r="AN464">
        <v>2023</v>
      </c>
      <c r="AO464">
        <v>227</v>
      </c>
      <c r="AP464">
        <v>14.47</v>
      </c>
      <c r="AQ464">
        <v>0</v>
      </c>
      <c r="AR464">
        <v>170.9</v>
      </c>
      <c r="AS464" t="s">
        <v>194</v>
      </c>
      <c r="AT464">
        <v>13.15</v>
      </c>
      <c r="AU464">
        <v>1.32</v>
      </c>
      <c r="AV464">
        <v>2023</v>
      </c>
      <c r="AW464">
        <v>87</v>
      </c>
      <c r="AX464">
        <v>670</v>
      </c>
      <c r="AY464">
        <v>0</v>
      </c>
      <c r="AZ464" t="s">
        <v>853</v>
      </c>
      <c r="BA464">
        <v>14.47</v>
      </c>
      <c r="BB464" s="1">
        <v>44978</v>
      </c>
    </row>
    <row r="465" spans="1:54" x14ac:dyDescent="0.25">
      <c r="A465">
        <v>2023</v>
      </c>
      <c r="B465">
        <v>212</v>
      </c>
      <c r="C465" s="1">
        <v>44978</v>
      </c>
      <c r="D465">
        <v>2023</v>
      </c>
      <c r="E465">
        <v>2023</v>
      </c>
      <c r="F465">
        <v>14</v>
      </c>
      <c r="H465" t="s">
        <v>852</v>
      </c>
      <c r="I465">
        <v>130</v>
      </c>
      <c r="J465">
        <v>0</v>
      </c>
      <c r="K465" t="s">
        <v>128</v>
      </c>
      <c r="R465" t="s">
        <v>190</v>
      </c>
      <c r="S465" t="str">
        <f t="shared" si="45"/>
        <v>31</v>
      </c>
      <c r="T465" t="s">
        <v>122</v>
      </c>
      <c r="W465" t="s">
        <v>850</v>
      </c>
      <c r="Y465">
        <v>3344</v>
      </c>
      <c r="Z465" t="s">
        <v>192</v>
      </c>
      <c r="AB465" t="str">
        <f t="shared" si="46"/>
        <v>02616630022</v>
      </c>
      <c r="AC465" t="s">
        <v>116</v>
      </c>
      <c r="AD465" t="s">
        <v>193</v>
      </c>
      <c r="AF465">
        <v>2023</v>
      </c>
      <c r="AG465">
        <v>103</v>
      </c>
      <c r="AH465" t="str">
        <f t="shared" ref="AH465:AH496" si="47">"1"</f>
        <v>1</v>
      </c>
      <c r="AI465" t="str">
        <f>"5230005518"</f>
        <v>5230005518</v>
      </c>
      <c r="AJ465" s="1">
        <v>44944</v>
      </c>
      <c r="AL465" s="2">
        <v>3938.64</v>
      </c>
      <c r="AM465" t="str">
        <f>"8868714509"</f>
        <v>8868714509</v>
      </c>
      <c r="AN465">
        <v>2023</v>
      </c>
      <c r="AO465">
        <v>228</v>
      </c>
      <c r="AP465" s="2">
        <v>3938.64</v>
      </c>
      <c r="AQ465">
        <v>0</v>
      </c>
      <c r="AR465" s="2">
        <v>9970.27</v>
      </c>
      <c r="AS465" t="s">
        <v>194</v>
      </c>
      <c r="AT465">
        <v>3580.58</v>
      </c>
      <c r="AU465">
        <v>358.06</v>
      </c>
      <c r="AV465">
        <v>2023</v>
      </c>
      <c r="AW465">
        <v>88</v>
      </c>
      <c r="AX465">
        <v>670</v>
      </c>
      <c r="AY465">
        <v>0</v>
      </c>
      <c r="AZ465" t="s">
        <v>854</v>
      </c>
      <c r="BA465">
        <v>3938.64</v>
      </c>
      <c r="BB465" s="1">
        <v>44978</v>
      </c>
    </row>
    <row r="466" spans="1:54" x14ac:dyDescent="0.25">
      <c r="A466">
        <v>2023</v>
      </c>
      <c r="B466">
        <v>212</v>
      </c>
      <c r="C466" s="1">
        <v>44978</v>
      </c>
      <c r="D466">
        <v>2023</v>
      </c>
      <c r="E466">
        <v>2023</v>
      </c>
      <c r="F466">
        <v>14</v>
      </c>
      <c r="H466" t="s">
        <v>852</v>
      </c>
      <c r="I466">
        <v>130</v>
      </c>
      <c r="J466">
        <v>0</v>
      </c>
      <c r="K466" t="s">
        <v>128</v>
      </c>
      <c r="R466" t="s">
        <v>190</v>
      </c>
      <c r="S466" t="str">
        <f t="shared" si="45"/>
        <v>31</v>
      </c>
      <c r="T466" t="s">
        <v>122</v>
      </c>
      <c r="W466" t="s">
        <v>850</v>
      </c>
      <c r="Y466">
        <v>3344</v>
      </c>
      <c r="Z466" t="s">
        <v>192</v>
      </c>
      <c r="AB466" t="str">
        <f t="shared" si="46"/>
        <v>02616630022</v>
      </c>
      <c r="AC466" t="s">
        <v>116</v>
      </c>
      <c r="AD466" t="s">
        <v>193</v>
      </c>
      <c r="AF466">
        <v>2023</v>
      </c>
      <c r="AG466">
        <v>104</v>
      </c>
      <c r="AH466" t="str">
        <f t="shared" si="47"/>
        <v>1</v>
      </c>
      <c r="AI466" t="str">
        <f>"5230005520"</f>
        <v>5230005520</v>
      </c>
      <c r="AJ466" s="1">
        <v>44944</v>
      </c>
      <c r="AL466">
        <v>300.26</v>
      </c>
      <c r="AM466" t="str">
        <f>"8868716007"</f>
        <v>8868716007</v>
      </c>
      <c r="AN466">
        <v>2023</v>
      </c>
      <c r="AO466">
        <v>228</v>
      </c>
      <c r="AP466">
        <v>300.26</v>
      </c>
      <c r="AQ466">
        <v>0</v>
      </c>
      <c r="AR466" s="2">
        <v>9970.27</v>
      </c>
      <c r="AS466" t="s">
        <v>194</v>
      </c>
      <c r="AT466">
        <v>272.95999999999998</v>
      </c>
      <c r="AU466">
        <v>27.3</v>
      </c>
      <c r="AV466">
        <v>2023</v>
      </c>
      <c r="AW466">
        <v>88</v>
      </c>
      <c r="AX466">
        <v>670</v>
      </c>
      <c r="AY466">
        <v>0</v>
      </c>
      <c r="AZ466" t="s">
        <v>854</v>
      </c>
      <c r="BA466">
        <v>300.26</v>
      </c>
      <c r="BB466" s="1">
        <v>44978</v>
      </c>
    </row>
    <row r="467" spans="1:54" x14ac:dyDescent="0.25">
      <c r="A467">
        <v>2023</v>
      </c>
      <c r="B467">
        <v>212</v>
      </c>
      <c r="C467" s="1">
        <v>44978</v>
      </c>
      <c r="D467">
        <v>2023</v>
      </c>
      <c r="E467">
        <v>2023</v>
      </c>
      <c r="F467">
        <v>14</v>
      </c>
      <c r="H467" t="s">
        <v>852</v>
      </c>
      <c r="I467">
        <v>130</v>
      </c>
      <c r="J467">
        <v>0</v>
      </c>
      <c r="K467" t="s">
        <v>128</v>
      </c>
      <c r="R467" t="s">
        <v>190</v>
      </c>
      <c r="S467" t="str">
        <f t="shared" si="45"/>
        <v>31</v>
      </c>
      <c r="T467" t="s">
        <v>122</v>
      </c>
      <c r="W467" t="s">
        <v>850</v>
      </c>
      <c r="Y467">
        <v>3344</v>
      </c>
      <c r="Z467" t="s">
        <v>192</v>
      </c>
      <c r="AB467" t="str">
        <f t="shared" si="46"/>
        <v>02616630022</v>
      </c>
      <c r="AC467" t="s">
        <v>116</v>
      </c>
      <c r="AD467" t="s">
        <v>193</v>
      </c>
      <c r="AF467">
        <v>2023</v>
      </c>
      <c r="AG467">
        <v>105</v>
      </c>
      <c r="AH467" t="str">
        <f t="shared" si="47"/>
        <v>1</v>
      </c>
      <c r="AI467" t="str">
        <f>"5230005526"</f>
        <v>5230005526</v>
      </c>
      <c r="AJ467" s="1">
        <v>44944</v>
      </c>
      <c r="AL467" s="2">
        <v>12515.56</v>
      </c>
      <c r="AM467" t="str">
        <f>"8868722341"</f>
        <v>8868722341</v>
      </c>
      <c r="AN467">
        <v>2023</v>
      </c>
      <c r="AO467">
        <v>228</v>
      </c>
      <c r="AP467" s="2">
        <v>12515.56</v>
      </c>
      <c r="AQ467">
        <v>0</v>
      </c>
      <c r="AR467" s="2">
        <v>9970.27</v>
      </c>
      <c r="AS467" t="s">
        <v>194</v>
      </c>
      <c r="AT467">
        <v>11377.78</v>
      </c>
      <c r="AU467">
        <v>1137.78</v>
      </c>
      <c r="AV467">
        <v>2023</v>
      </c>
      <c r="AW467">
        <v>88</v>
      </c>
      <c r="AX467">
        <v>670</v>
      </c>
      <c r="AY467">
        <v>0</v>
      </c>
      <c r="AZ467" t="s">
        <v>854</v>
      </c>
      <c r="BA467">
        <v>12515.56</v>
      </c>
      <c r="BB467" s="1">
        <v>44978</v>
      </c>
    </row>
    <row r="468" spans="1:54" x14ac:dyDescent="0.25">
      <c r="A468">
        <v>2023</v>
      </c>
      <c r="B468">
        <v>212</v>
      </c>
      <c r="C468" s="1">
        <v>44978</v>
      </c>
      <c r="D468">
        <v>2023</v>
      </c>
      <c r="E468">
        <v>2023</v>
      </c>
      <c r="F468">
        <v>14</v>
      </c>
      <c r="H468" t="s">
        <v>852</v>
      </c>
      <c r="I468">
        <v>130</v>
      </c>
      <c r="J468">
        <v>0</v>
      </c>
      <c r="K468" t="s">
        <v>128</v>
      </c>
      <c r="R468" t="s">
        <v>190</v>
      </c>
      <c r="S468" t="str">
        <f t="shared" si="45"/>
        <v>31</v>
      </c>
      <c r="T468" t="s">
        <v>122</v>
      </c>
      <c r="W468" t="s">
        <v>850</v>
      </c>
      <c r="Y468">
        <v>3344</v>
      </c>
      <c r="Z468" t="s">
        <v>192</v>
      </c>
      <c r="AB468" t="str">
        <f t="shared" si="46"/>
        <v>02616630022</v>
      </c>
      <c r="AC468" t="s">
        <v>116</v>
      </c>
      <c r="AD468" t="s">
        <v>193</v>
      </c>
      <c r="AF468">
        <v>2023</v>
      </c>
      <c r="AG468">
        <v>106</v>
      </c>
      <c r="AH468" t="str">
        <f t="shared" si="47"/>
        <v>1</v>
      </c>
      <c r="AI468" t="str">
        <f>"5230005531"</f>
        <v>5230005531</v>
      </c>
      <c r="AJ468" s="1">
        <v>44944</v>
      </c>
      <c r="AL468" s="2">
        <v>2609.63</v>
      </c>
      <c r="AM468" t="str">
        <f>"8868721222"</f>
        <v>8868721222</v>
      </c>
      <c r="AN468">
        <v>2023</v>
      </c>
      <c r="AO468">
        <v>228</v>
      </c>
      <c r="AP468" s="2">
        <v>2609.63</v>
      </c>
      <c r="AQ468">
        <v>0</v>
      </c>
      <c r="AR468" s="2">
        <v>9970.27</v>
      </c>
      <c r="AS468" t="s">
        <v>194</v>
      </c>
      <c r="AT468">
        <v>2372.39</v>
      </c>
      <c r="AU468">
        <v>237.24</v>
      </c>
      <c r="AV468">
        <v>2023</v>
      </c>
      <c r="AW468">
        <v>88</v>
      </c>
      <c r="AX468">
        <v>670</v>
      </c>
      <c r="AY468">
        <v>0</v>
      </c>
      <c r="AZ468" t="s">
        <v>854</v>
      </c>
      <c r="BA468">
        <v>2609.63</v>
      </c>
      <c r="BB468" s="1">
        <v>44978</v>
      </c>
    </row>
    <row r="469" spans="1:54" x14ac:dyDescent="0.25">
      <c r="A469">
        <v>2023</v>
      </c>
      <c r="B469">
        <v>212</v>
      </c>
      <c r="C469" s="1">
        <v>44978</v>
      </c>
      <c r="D469">
        <v>2023</v>
      </c>
      <c r="E469">
        <v>2023</v>
      </c>
      <c r="F469">
        <v>14</v>
      </c>
      <c r="H469" t="s">
        <v>852</v>
      </c>
      <c r="I469">
        <v>130</v>
      </c>
      <c r="J469">
        <v>0</v>
      </c>
      <c r="K469" t="s">
        <v>128</v>
      </c>
      <c r="R469" t="s">
        <v>190</v>
      </c>
      <c r="S469" t="str">
        <f t="shared" si="45"/>
        <v>31</v>
      </c>
      <c r="T469" t="s">
        <v>122</v>
      </c>
      <c r="W469" t="s">
        <v>850</v>
      </c>
      <c r="Y469">
        <v>3344</v>
      </c>
      <c r="Z469" t="s">
        <v>192</v>
      </c>
      <c r="AB469" t="str">
        <f t="shared" si="46"/>
        <v>02616630022</v>
      </c>
      <c r="AC469" t="s">
        <v>116</v>
      </c>
      <c r="AD469" t="s">
        <v>193</v>
      </c>
      <c r="AF469">
        <v>2023</v>
      </c>
      <c r="AG469">
        <v>108</v>
      </c>
      <c r="AH469" t="str">
        <f t="shared" si="47"/>
        <v>1</v>
      </c>
      <c r="AI469" t="str">
        <f>"5230005578"</f>
        <v>5230005578</v>
      </c>
      <c r="AJ469" s="1">
        <v>44944</v>
      </c>
      <c r="AL469">
        <v>21.26</v>
      </c>
      <c r="AM469" t="str">
        <f>"8868736839"</f>
        <v>8868736839</v>
      </c>
      <c r="AN469">
        <v>2023</v>
      </c>
      <c r="AO469">
        <v>228</v>
      </c>
      <c r="AP469">
        <v>21.26</v>
      </c>
      <c r="AQ469">
        <v>0</v>
      </c>
      <c r="AR469" s="2">
        <v>9970.27</v>
      </c>
      <c r="AS469" t="s">
        <v>194</v>
      </c>
      <c r="AT469">
        <v>19.329999999999998</v>
      </c>
      <c r="AU469">
        <v>1.93</v>
      </c>
      <c r="AV469">
        <v>2023</v>
      </c>
      <c r="AW469">
        <v>88</v>
      </c>
      <c r="AX469">
        <v>670</v>
      </c>
      <c r="AY469">
        <v>0</v>
      </c>
      <c r="AZ469" t="s">
        <v>854</v>
      </c>
      <c r="BA469">
        <v>21.26</v>
      </c>
      <c r="BB469" s="1">
        <v>44978</v>
      </c>
    </row>
    <row r="470" spans="1:54" x14ac:dyDescent="0.25">
      <c r="A470">
        <v>2023</v>
      </c>
      <c r="B470">
        <v>212</v>
      </c>
      <c r="C470" s="1">
        <v>44978</v>
      </c>
      <c r="D470">
        <v>2023</v>
      </c>
      <c r="E470">
        <v>2023</v>
      </c>
      <c r="F470">
        <v>14</v>
      </c>
      <c r="H470" t="s">
        <v>852</v>
      </c>
      <c r="I470">
        <v>130</v>
      </c>
      <c r="J470">
        <v>0</v>
      </c>
      <c r="K470" t="s">
        <v>128</v>
      </c>
      <c r="R470" t="s">
        <v>190</v>
      </c>
      <c r="S470" t="str">
        <f t="shared" si="45"/>
        <v>31</v>
      </c>
      <c r="T470" t="s">
        <v>122</v>
      </c>
      <c r="W470" t="s">
        <v>850</v>
      </c>
      <c r="Y470">
        <v>3344</v>
      </c>
      <c r="Z470" t="s">
        <v>192</v>
      </c>
      <c r="AB470" t="str">
        <f t="shared" si="46"/>
        <v>02616630022</v>
      </c>
      <c r="AC470" t="s">
        <v>116</v>
      </c>
      <c r="AD470" t="s">
        <v>193</v>
      </c>
      <c r="AF470">
        <v>2023</v>
      </c>
      <c r="AG470">
        <v>109</v>
      </c>
      <c r="AH470" t="str">
        <f t="shared" si="47"/>
        <v>1</v>
      </c>
      <c r="AI470" t="str">
        <f>"5230005568"</f>
        <v>5230005568</v>
      </c>
      <c r="AJ470" s="1">
        <v>44944</v>
      </c>
      <c r="AL470">
        <v>23.69</v>
      </c>
      <c r="AM470" t="str">
        <f>"8868723336"</f>
        <v>8868723336</v>
      </c>
      <c r="AN470">
        <v>2023</v>
      </c>
      <c r="AO470">
        <v>228</v>
      </c>
      <c r="AP470">
        <v>23.69</v>
      </c>
      <c r="AQ470">
        <v>0</v>
      </c>
      <c r="AR470" s="2">
        <v>9970.27</v>
      </c>
      <c r="AS470" t="s">
        <v>194</v>
      </c>
      <c r="AT470">
        <v>21.54</v>
      </c>
      <c r="AU470">
        <v>2.15</v>
      </c>
      <c r="AV470">
        <v>2023</v>
      </c>
      <c r="AW470">
        <v>88</v>
      </c>
      <c r="AX470">
        <v>670</v>
      </c>
      <c r="AY470">
        <v>0</v>
      </c>
      <c r="AZ470" t="s">
        <v>854</v>
      </c>
      <c r="BA470">
        <v>23.69</v>
      </c>
      <c r="BB470" s="1">
        <v>44978</v>
      </c>
    </row>
    <row r="471" spans="1:54" x14ac:dyDescent="0.25">
      <c r="A471">
        <v>2023</v>
      </c>
      <c r="B471">
        <v>212</v>
      </c>
      <c r="C471" s="1">
        <v>44978</v>
      </c>
      <c r="D471">
        <v>2023</v>
      </c>
      <c r="E471">
        <v>2023</v>
      </c>
      <c r="F471">
        <v>14</v>
      </c>
      <c r="H471" t="s">
        <v>852</v>
      </c>
      <c r="I471">
        <v>130</v>
      </c>
      <c r="J471">
        <v>0</v>
      </c>
      <c r="K471" t="s">
        <v>128</v>
      </c>
      <c r="R471" t="s">
        <v>190</v>
      </c>
      <c r="S471" t="str">
        <f t="shared" si="45"/>
        <v>31</v>
      </c>
      <c r="T471" t="s">
        <v>122</v>
      </c>
      <c r="W471" t="s">
        <v>850</v>
      </c>
      <c r="Y471">
        <v>3344</v>
      </c>
      <c r="Z471" t="s">
        <v>192</v>
      </c>
      <c r="AB471" t="str">
        <f t="shared" si="46"/>
        <v>02616630022</v>
      </c>
      <c r="AC471" t="s">
        <v>116</v>
      </c>
      <c r="AD471" t="s">
        <v>193</v>
      </c>
      <c r="AF471">
        <v>2023</v>
      </c>
      <c r="AG471">
        <v>110</v>
      </c>
      <c r="AH471" t="str">
        <f t="shared" si="47"/>
        <v>1</v>
      </c>
      <c r="AI471" t="str">
        <f>"5230005564"</f>
        <v>5230005564</v>
      </c>
      <c r="AJ471" s="1">
        <v>44944</v>
      </c>
      <c r="AL471" s="2">
        <v>3707.04</v>
      </c>
      <c r="AM471" t="str">
        <f>"8868723237"</f>
        <v>8868723237</v>
      </c>
      <c r="AN471">
        <v>2023</v>
      </c>
      <c r="AO471">
        <v>228</v>
      </c>
      <c r="AP471" s="2">
        <v>3707.04</v>
      </c>
      <c r="AQ471">
        <v>0</v>
      </c>
      <c r="AR471" s="2">
        <v>9970.27</v>
      </c>
      <c r="AS471" t="s">
        <v>194</v>
      </c>
      <c r="AT471">
        <v>3370.04</v>
      </c>
      <c r="AU471">
        <v>337</v>
      </c>
      <c r="AV471">
        <v>2023</v>
      </c>
      <c r="AW471">
        <v>88</v>
      </c>
      <c r="AX471">
        <v>670</v>
      </c>
      <c r="AY471">
        <v>0</v>
      </c>
      <c r="AZ471" t="s">
        <v>854</v>
      </c>
      <c r="BA471">
        <v>3707.04</v>
      </c>
      <c r="BB471" s="1">
        <v>44978</v>
      </c>
    </row>
    <row r="472" spans="1:54" x14ac:dyDescent="0.25">
      <c r="A472">
        <v>2023</v>
      </c>
      <c r="B472">
        <v>212</v>
      </c>
      <c r="C472" s="1">
        <v>44978</v>
      </c>
      <c r="D472">
        <v>2023</v>
      </c>
      <c r="E472">
        <v>2023</v>
      </c>
      <c r="F472">
        <v>14</v>
      </c>
      <c r="H472" t="s">
        <v>852</v>
      </c>
      <c r="I472">
        <v>130</v>
      </c>
      <c r="J472">
        <v>0</v>
      </c>
      <c r="K472" t="s">
        <v>128</v>
      </c>
      <c r="R472" t="s">
        <v>190</v>
      </c>
      <c r="S472" t="str">
        <f t="shared" si="45"/>
        <v>31</v>
      </c>
      <c r="T472" t="s">
        <v>122</v>
      </c>
      <c r="W472" t="s">
        <v>850</v>
      </c>
      <c r="Y472">
        <v>3344</v>
      </c>
      <c r="Z472" t="s">
        <v>192</v>
      </c>
      <c r="AB472" t="str">
        <f t="shared" si="46"/>
        <v>02616630022</v>
      </c>
      <c r="AC472" t="s">
        <v>116</v>
      </c>
      <c r="AD472" t="s">
        <v>193</v>
      </c>
      <c r="AF472">
        <v>2023</v>
      </c>
      <c r="AG472">
        <v>112</v>
      </c>
      <c r="AH472" t="str">
        <f t="shared" si="47"/>
        <v>1</v>
      </c>
      <c r="AI472" t="str">
        <f>"5230005525"</f>
        <v>5230005525</v>
      </c>
      <c r="AJ472" s="1">
        <v>44944</v>
      </c>
      <c r="AL472" s="2">
        <v>3515.19</v>
      </c>
      <c r="AM472" t="str">
        <f>"8868722533"</f>
        <v>8868722533</v>
      </c>
      <c r="AN472">
        <v>2023</v>
      </c>
      <c r="AO472">
        <v>228</v>
      </c>
      <c r="AP472" s="2">
        <v>3515.19</v>
      </c>
      <c r="AQ472">
        <v>0</v>
      </c>
      <c r="AR472" s="2">
        <v>9970.27</v>
      </c>
      <c r="AS472" t="s">
        <v>194</v>
      </c>
      <c r="AT472">
        <v>3195.63</v>
      </c>
      <c r="AU472">
        <v>319.56</v>
      </c>
      <c r="AV472">
        <v>2023</v>
      </c>
      <c r="AW472">
        <v>88</v>
      </c>
      <c r="AX472">
        <v>670</v>
      </c>
      <c r="AY472">
        <v>0</v>
      </c>
      <c r="AZ472" t="s">
        <v>854</v>
      </c>
      <c r="BA472">
        <v>3515.19</v>
      </c>
      <c r="BB472" s="1">
        <v>44978</v>
      </c>
    </row>
    <row r="473" spans="1:54" x14ac:dyDescent="0.25">
      <c r="A473">
        <v>2023</v>
      </c>
      <c r="B473">
        <v>212</v>
      </c>
      <c r="C473" s="1">
        <v>44978</v>
      </c>
      <c r="D473">
        <v>2023</v>
      </c>
      <c r="E473">
        <v>2023</v>
      </c>
      <c r="F473">
        <v>14</v>
      </c>
      <c r="H473" t="s">
        <v>852</v>
      </c>
      <c r="I473">
        <v>130</v>
      </c>
      <c r="J473">
        <v>0</v>
      </c>
      <c r="K473" t="s">
        <v>128</v>
      </c>
      <c r="R473" t="s">
        <v>190</v>
      </c>
      <c r="S473" t="str">
        <f t="shared" si="45"/>
        <v>31</v>
      </c>
      <c r="T473" t="s">
        <v>122</v>
      </c>
      <c r="W473" t="s">
        <v>850</v>
      </c>
      <c r="Y473">
        <v>3344</v>
      </c>
      <c r="Z473" t="s">
        <v>192</v>
      </c>
      <c r="AB473" t="str">
        <f t="shared" si="46"/>
        <v>02616630022</v>
      </c>
      <c r="AC473" t="s">
        <v>116</v>
      </c>
      <c r="AD473" t="s">
        <v>193</v>
      </c>
      <c r="AF473">
        <v>2023</v>
      </c>
      <c r="AG473">
        <v>113</v>
      </c>
      <c r="AH473" t="str">
        <f t="shared" si="47"/>
        <v>1</v>
      </c>
      <c r="AI473" t="str">
        <f>"5230005522"</f>
        <v>5230005522</v>
      </c>
      <c r="AJ473" s="1">
        <v>44944</v>
      </c>
      <c r="AL473" s="2">
        <v>2124.2800000000002</v>
      </c>
      <c r="AM473" t="str">
        <f>"8868722430"</f>
        <v>8868722430</v>
      </c>
      <c r="AN473">
        <v>2023</v>
      </c>
      <c r="AO473">
        <v>228</v>
      </c>
      <c r="AP473" s="2">
        <v>2124.2800000000002</v>
      </c>
      <c r="AQ473">
        <v>0</v>
      </c>
      <c r="AR473" s="2">
        <v>9970.27</v>
      </c>
      <c r="AS473" t="s">
        <v>194</v>
      </c>
      <c r="AT473">
        <v>1931.16</v>
      </c>
      <c r="AU473">
        <v>193.12</v>
      </c>
      <c r="AV473">
        <v>2023</v>
      </c>
      <c r="AW473">
        <v>88</v>
      </c>
      <c r="AX473">
        <v>670</v>
      </c>
      <c r="AY473">
        <v>0</v>
      </c>
      <c r="AZ473" t="s">
        <v>854</v>
      </c>
      <c r="BA473">
        <v>2124.2800000000002</v>
      </c>
      <c r="BB473" s="1">
        <v>44978</v>
      </c>
    </row>
    <row r="474" spans="1:54" x14ac:dyDescent="0.25">
      <c r="A474">
        <v>2023</v>
      </c>
      <c r="B474">
        <v>212</v>
      </c>
      <c r="C474" s="1">
        <v>44978</v>
      </c>
      <c r="D474">
        <v>2023</v>
      </c>
      <c r="E474">
        <v>2023</v>
      </c>
      <c r="F474">
        <v>14</v>
      </c>
      <c r="H474" t="s">
        <v>852</v>
      </c>
      <c r="I474">
        <v>130</v>
      </c>
      <c r="J474">
        <v>0</v>
      </c>
      <c r="K474" t="s">
        <v>128</v>
      </c>
      <c r="R474" t="s">
        <v>190</v>
      </c>
      <c r="S474" t="str">
        <f t="shared" si="45"/>
        <v>31</v>
      </c>
      <c r="T474" t="s">
        <v>122</v>
      </c>
      <c r="W474" t="s">
        <v>850</v>
      </c>
      <c r="Y474">
        <v>3344</v>
      </c>
      <c r="Z474" t="s">
        <v>192</v>
      </c>
      <c r="AB474" t="str">
        <f t="shared" si="46"/>
        <v>02616630022</v>
      </c>
      <c r="AC474" t="s">
        <v>116</v>
      </c>
      <c r="AD474" t="s">
        <v>193</v>
      </c>
      <c r="AF474">
        <v>2023</v>
      </c>
      <c r="AG474">
        <v>117</v>
      </c>
      <c r="AH474" t="str">
        <f t="shared" si="47"/>
        <v>1</v>
      </c>
      <c r="AI474" t="str">
        <f>"5230005572"</f>
        <v>5230005572</v>
      </c>
      <c r="AJ474" s="1">
        <v>44944</v>
      </c>
      <c r="AL474" s="2">
        <v>4001.69</v>
      </c>
      <c r="AM474" t="str">
        <f>"8868723726"</f>
        <v>8868723726</v>
      </c>
      <c r="AN474">
        <v>2023</v>
      </c>
      <c r="AO474">
        <v>228</v>
      </c>
      <c r="AP474" s="2">
        <v>4001.69</v>
      </c>
      <c r="AQ474">
        <v>0</v>
      </c>
      <c r="AR474" s="2">
        <v>9970.27</v>
      </c>
      <c r="AS474" t="s">
        <v>194</v>
      </c>
      <c r="AT474">
        <v>3637.9</v>
      </c>
      <c r="AU474">
        <v>363.79</v>
      </c>
      <c r="AV474">
        <v>2023</v>
      </c>
      <c r="AW474">
        <v>88</v>
      </c>
      <c r="AX474">
        <v>670</v>
      </c>
      <c r="AY474">
        <v>0</v>
      </c>
      <c r="AZ474" t="s">
        <v>854</v>
      </c>
      <c r="BA474">
        <v>4001.69</v>
      </c>
      <c r="BB474" s="1">
        <v>44978</v>
      </c>
    </row>
    <row r="475" spans="1:54" x14ac:dyDescent="0.25">
      <c r="A475">
        <v>2023</v>
      </c>
      <c r="B475">
        <v>212</v>
      </c>
      <c r="C475" s="1">
        <v>44978</v>
      </c>
      <c r="D475">
        <v>2023</v>
      </c>
      <c r="E475">
        <v>2023</v>
      </c>
      <c r="F475">
        <v>14</v>
      </c>
      <c r="H475" t="s">
        <v>852</v>
      </c>
      <c r="I475">
        <v>130</v>
      </c>
      <c r="J475">
        <v>0</v>
      </c>
      <c r="K475" t="s">
        <v>128</v>
      </c>
      <c r="R475" t="s">
        <v>190</v>
      </c>
      <c r="S475" t="str">
        <f t="shared" si="45"/>
        <v>31</v>
      </c>
      <c r="T475" t="s">
        <v>122</v>
      </c>
      <c r="W475" t="s">
        <v>850</v>
      </c>
      <c r="Y475">
        <v>3344</v>
      </c>
      <c r="Z475" t="s">
        <v>192</v>
      </c>
      <c r="AB475" t="str">
        <f t="shared" si="46"/>
        <v>02616630022</v>
      </c>
      <c r="AC475" t="s">
        <v>116</v>
      </c>
      <c r="AD475" t="s">
        <v>193</v>
      </c>
      <c r="AF475">
        <v>2023</v>
      </c>
      <c r="AG475">
        <v>122</v>
      </c>
      <c r="AH475" t="str">
        <f t="shared" si="47"/>
        <v>1</v>
      </c>
      <c r="AI475" t="str">
        <f>"5230005569"</f>
        <v>5230005569</v>
      </c>
      <c r="AJ475" s="1">
        <v>44944</v>
      </c>
      <c r="AL475">
        <v>29.52</v>
      </c>
      <c r="AM475" t="str">
        <f>"8868725302"</f>
        <v>8868725302</v>
      </c>
      <c r="AN475">
        <v>2023</v>
      </c>
      <c r="AO475">
        <v>228</v>
      </c>
      <c r="AP475">
        <v>29.52</v>
      </c>
      <c r="AQ475">
        <v>0</v>
      </c>
      <c r="AR475" s="2">
        <v>9970.27</v>
      </c>
      <c r="AS475" t="s">
        <v>194</v>
      </c>
      <c r="AT475">
        <v>26.84</v>
      </c>
      <c r="AU475">
        <v>2.68</v>
      </c>
      <c r="AV475">
        <v>2023</v>
      </c>
      <c r="AW475">
        <v>88</v>
      </c>
      <c r="AX475">
        <v>670</v>
      </c>
      <c r="AY475">
        <v>0</v>
      </c>
      <c r="AZ475" t="s">
        <v>854</v>
      </c>
      <c r="BA475">
        <v>29.52</v>
      </c>
      <c r="BB475" s="1">
        <v>44978</v>
      </c>
    </row>
    <row r="476" spans="1:54" x14ac:dyDescent="0.25">
      <c r="A476">
        <v>2023</v>
      </c>
      <c r="B476">
        <v>212</v>
      </c>
      <c r="C476" s="1">
        <v>44978</v>
      </c>
      <c r="D476">
        <v>2023</v>
      </c>
      <c r="E476">
        <v>2023</v>
      </c>
      <c r="F476">
        <v>14</v>
      </c>
      <c r="H476" t="s">
        <v>852</v>
      </c>
      <c r="I476">
        <v>130</v>
      </c>
      <c r="J476">
        <v>0</v>
      </c>
      <c r="K476" t="s">
        <v>128</v>
      </c>
      <c r="R476" t="s">
        <v>190</v>
      </c>
      <c r="S476" t="str">
        <f t="shared" si="45"/>
        <v>31</v>
      </c>
      <c r="T476" t="s">
        <v>122</v>
      </c>
      <c r="W476" t="s">
        <v>850</v>
      </c>
      <c r="Y476">
        <v>3344</v>
      </c>
      <c r="Z476" t="s">
        <v>192</v>
      </c>
      <c r="AB476" t="str">
        <f t="shared" si="46"/>
        <v>02616630022</v>
      </c>
      <c r="AC476" t="s">
        <v>116</v>
      </c>
      <c r="AD476" t="s">
        <v>193</v>
      </c>
      <c r="AF476">
        <v>2023</v>
      </c>
      <c r="AG476">
        <v>126</v>
      </c>
      <c r="AH476" t="str">
        <f t="shared" si="47"/>
        <v>1</v>
      </c>
      <c r="AI476" t="str">
        <f>"5230005561"</f>
        <v>5230005561</v>
      </c>
      <c r="AJ476" s="1">
        <v>44944</v>
      </c>
      <c r="AL476" s="2">
        <v>6234</v>
      </c>
      <c r="AM476" t="str">
        <f>"8868733436"</f>
        <v>8868733436</v>
      </c>
      <c r="AN476">
        <v>2023</v>
      </c>
      <c r="AO476">
        <v>228</v>
      </c>
      <c r="AP476" s="2">
        <v>6234</v>
      </c>
      <c r="AQ476">
        <v>0</v>
      </c>
      <c r="AR476" s="2">
        <v>9970.27</v>
      </c>
      <c r="AS476" t="s">
        <v>194</v>
      </c>
      <c r="AT476">
        <v>5667.27</v>
      </c>
      <c r="AU476">
        <v>566.73</v>
      </c>
      <c r="AV476">
        <v>2023</v>
      </c>
      <c r="AW476">
        <v>88</v>
      </c>
      <c r="AX476">
        <v>670</v>
      </c>
      <c r="AY476">
        <v>0</v>
      </c>
      <c r="AZ476" t="s">
        <v>854</v>
      </c>
      <c r="BA476">
        <v>6234</v>
      </c>
      <c r="BB476" s="1">
        <v>44978</v>
      </c>
    </row>
    <row r="477" spans="1:54" x14ac:dyDescent="0.25">
      <c r="A477">
        <v>2023</v>
      </c>
      <c r="B477">
        <v>212</v>
      </c>
      <c r="C477" s="1">
        <v>44978</v>
      </c>
      <c r="D477">
        <v>2023</v>
      </c>
      <c r="E477">
        <v>2023</v>
      </c>
      <c r="F477">
        <v>14</v>
      </c>
      <c r="H477" t="s">
        <v>852</v>
      </c>
      <c r="I477">
        <v>130</v>
      </c>
      <c r="J477">
        <v>0</v>
      </c>
      <c r="K477" t="s">
        <v>128</v>
      </c>
      <c r="R477" t="s">
        <v>190</v>
      </c>
      <c r="S477" t="str">
        <f t="shared" ref="S477:S508" si="48">"31"</f>
        <v>31</v>
      </c>
      <c r="T477" t="s">
        <v>122</v>
      </c>
      <c r="W477" t="s">
        <v>850</v>
      </c>
      <c r="Y477">
        <v>3344</v>
      </c>
      <c r="Z477" t="s">
        <v>192</v>
      </c>
      <c r="AB477" t="str">
        <f t="shared" ref="AB477:AB508" si="49">"02616630022"</f>
        <v>02616630022</v>
      </c>
      <c r="AC477" t="s">
        <v>116</v>
      </c>
      <c r="AD477" t="s">
        <v>193</v>
      </c>
      <c r="AF477">
        <v>2023</v>
      </c>
      <c r="AG477">
        <v>127</v>
      </c>
      <c r="AH477" t="str">
        <f t="shared" si="47"/>
        <v>1</v>
      </c>
      <c r="AI477" t="str">
        <f>"5230005548"</f>
        <v>5230005548</v>
      </c>
      <c r="AJ477" s="1">
        <v>44944</v>
      </c>
      <c r="AL477">
        <v>11.79</v>
      </c>
      <c r="AM477" t="str">
        <f>"8868727318"</f>
        <v>8868727318</v>
      </c>
      <c r="AN477">
        <v>2023</v>
      </c>
      <c r="AO477">
        <v>228</v>
      </c>
      <c r="AP477">
        <v>11.79</v>
      </c>
      <c r="AQ477">
        <v>0</v>
      </c>
      <c r="AR477" s="2">
        <v>9970.27</v>
      </c>
      <c r="AS477" t="s">
        <v>177</v>
      </c>
      <c r="AT477">
        <v>9.66</v>
      </c>
      <c r="AU477">
        <v>2.13</v>
      </c>
      <c r="AV477">
        <v>2023</v>
      </c>
      <c r="AW477">
        <v>88</v>
      </c>
      <c r="AX477">
        <v>670</v>
      </c>
      <c r="AY477">
        <v>0</v>
      </c>
      <c r="AZ477" t="s">
        <v>854</v>
      </c>
      <c r="BA477">
        <v>11.79</v>
      </c>
      <c r="BB477" s="1">
        <v>44978</v>
      </c>
    </row>
    <row r="478" spans="1:54" x14ac:dyDescent="0.25">
      <c r="A478">
        <v>2023</v>
      </c>
      <c r="B478">
        <v>212</v>
      </c>
      <c r="C478" s="1">
        <v>44978</v>
      </c>
      <c r="D478">
        <v>2023</v>
      </c>
      <c r="E478">
        <v>2023</v>
      </c>
      <c r="F478">
        <v>14</v>
      </c>
      <c r="H478" t="s">
        <v>852</v>
      </c>
      <c r="I478">
        <v>130</v>
      </c>
      <c r="J478">
        <v>0</v>
      </c>
      <c r="K478" t="s">
        <v>128</v>
      </c>
      <c r="R478" t="s">
        <v>190</v>
      </c>
      <c r="S478" t="str">
        <f t="shared" si="48"/>
        <v>31</v>
      </c>
      <c r="T478" t="s">
        <v>122</v>
      </c>
      <c r="W478" t="s">
        <v>850</v>
      </c>
      <c r="Y478">
        <v>3344</v>
      </c>
      <c r="Z478" t="s">
        <v>192</v>
      </c>
      <c r="AB478" t="str">
        <f t="shared" si="49"/>
        <v>02616630022</v>
      </c>
      <c r="AC478" t="s">
        <v>116</v>
      </c>
      <c r="AD478" t="s">
        <v>193</v>
      </c>
      <c r="AF478">
        <v>2023</v>
      </c>
      <c r="AG478">
        <v>129</v>
      </c>
      <c r="AH478" t="str">
        <f t="shared" si="47"/>
        <v>1</v>
      </c>
      <c r="AI478" t="str">
        <f>"5230005577"</f>
        <v>5230005577</v>
      </c>
      <c r="AJ478" s="1">
        <v>44944</v>
      </c>
      <c r="AL478">
        <v>14.11</v>
      </c>
      <c r="AM478" t="str">
        <f>"8868729034"</f>
        <v>8868729034</v>
      </c>
      <c r="AN478">
        <v>2023</v>
      </c>
      <c r="AO478">
        <v>228</v>
      </c>
      <c r="AP478">
        <v>14.11</v>
      </c>
      <c r="AQ478">
        <v>0</v>
      </c>
      <c r="AR478" s="2">
        <v>9970.27</v>
      </c>
      <c r="AS478" t="s">
        <v>194</v>
      </c>
      <c r="AT478">
        <v>12.83</v>
      </c>
      <c r="AU478">
        <v>1.28</v>
      </c>
      <c r="AV478">
        <v>2023</v>
      </c>
      <c r="AW478">
        <v>88</v>
      </c>
      <c r="AX478">
        <v>670</v>
      </c>
      <c r="AY478">
        <v>0</v>
      </c>
      <c r="AZ478" t="s">
        <v>854</v>
      </c>
      <c r="BA478">
        <v>14.11</v>
      </c>
      <c r="BB478" s="1">
        <v>44978</v>
      </c>
    </row>
    <row r="479" spans="1:54" x14ac:dyDescent="0.25">
      <c r="A479">
        <v>2023</v>
      </c>
      <c r="B479">
        <v>212</v>
      </c>
      <c r="C479" s="1">
        <v>44978</v>
      </c>
      <c r="D479">
        <v>2023</v>
      </c>
      <c r="E479">
        <v>2023</v>
      </c>
      <c r="F479">
        <v>14</v>
      </c>
      <c r="H479" t="s">
        <v>852</v>
      </c>
      <c r="I479">
        <v>130</v>
      </c>
      <c r="J479">
        <v>0</v>
      </c>
      <c r="K479" t="s">
        <v>128</v>
      </c>
      <c r="R479" t="s">
        <v>190</v>
      </c>
      <c r="S479" t="str">
        <f t="shared" si="48"/>
        <v>31</v>
      </c>
      <c r="T479" t="s">
        <v>122</v>
      </c>
      <c r="W479" t="s">
        <v>850</v>
      </c>
      <c r="Y479">
        <v>3344</v>
      </c>
      <c r="Z479" t="s">
        <v>192</v>
      </c>
      <c r="AB479" t="str">
        <f t="shared" si="49"/>
        <v>02616630022</v>
      </c>
      <c r="AC479" t="s">
        <v>116</v>
      </c>
      <c r="AD479" t="s">
        <v>193</v>
      </c>
      <c r="AF479">
        <v>2023</v>
      </c>
      <c r="AG479">
        <v>130</v>
      </c>
      <c r="AH479" t="str">
        <f t="shared" si="47"/>
        <v>1</v>
      </c>
      <c r="AI479" t="str">
        <f>"5230005585"</f>
        <v>5230005585</v>
      </c>
      <c r="AJ479" s="1">
        <v>44944</v>
      </c>
      <c r="AL479" s="2">
        <v>3112.59</v>
      </c>
      <c r="AM479" t="str">
        <f>"8868729317"</f>
        <v>8868729317</v>
      </c>
      <c r="AN479">
        <v>2023</v>
      </c>
      <c r="AO479">
        <v>228</v>
      </c>
      <c r="AP479" s="2">
        <v>3112.59</v>
      </c>
      <c r="AQ479">
        <v>0</v>
      </c>
      <c r="AR479" s="2">
        <v>9970.27</v>
      </c>
      <c r="AS479" t="s">
        <v>194</v>
      </c>
      <c r="AT479">
        <v>2829.63</v>
      </c>
      <c r="AU479">
        <v>282.95999999999998</v>
      </c>
      <c r="AV479">
        <v>2023</v>
      </c>
      <c r="AW479">
        <v>88</v>
      </c>
      <c r="AX479">
        <v>670</v>
      </c>
      <c r="AY479">
        <v>0</v>
      </c>
      <c r="AZ479" t="s">
        <v>854</v>
      </c>
      <c r="BA479">
        <v>3112.59</v>
      </c>
      <c r="BB479" s="1">
        <v>44978</v>
      </c>
    </row>
    <row r="480" spans="1:54" x14ac:dyDescent="0.25">
      <c r="A480">
        <v>2023</v>
      </c>
      <c r="B480">
        <v>212</v>
      </c>
      <c r="C480" s="1">
        <v>44978</v>
      </c>
      <c r="D480">
        <v>2023</v>
      </c>
      <c r="E480">
        <v>2023</v>
      </c>
      <c r="F480">
        <v>14</v>
      </c>
      <c r="H480" t="s">
        <v>852</v>
      </c>
      <c r="I480">
        <v>130</v>
      </c>
      <c r="J480">
        <v>0</v>
      </c>
      <c r="K480" t="s">
        <v>128</v>
      </c>
      <c r="R480" t="s">
        <v>190</v>
      </c>
      <c r="S480" t="str">
        <f t="shared" si="48"/>
        <v>31</v>
      </c>
      <c r="T480" t="s">
        <v>122</v>
      </c>
      <c r="W480" t="s">
        <v>850</v>
      </c>
      <c r="Y480">
        <v>3344</v>
      </c>
      <c r="Z480" t="s">
        <v>192</v>
      </c>
      <c r="AB480" t="str">
        <f t="shared" si="49"/>
        <v>02616630022</v>
      </c>
      <c r="AC480" t="s">
        <v>116</v>
      </c>
      <c r="AD480" t="s">
        <v>193</v>
      </c>
      <c r="AF480">
        <v>2023</v>
      </c>
      <c r="AG480">
        <v>132</v>
      </c>
      <c r="AH480" t="str">
        <f t="shared" si="47"/>
        <v>1</v>
      </c>
      <c r="AI480" t="str">
        <f>"5230005579"</f>
        <v>5230005579</v>
      </c>
      <c r="AJ480" s="1">
        <v>44944</v>
      </c>
      <c r="AL480" s="2">
        <v>6464.27</v>
      </c>
      <c r="AM480" t="str">
        <f>"8868736242"</f>
        <v>8868736242</v>
      </c>
      <c r="AN480">
        <v>2023</v>
      </c>
      <c r="AO480">
        <v>228</v>
      </c>
      <c r="AP480" s="2">
        <v>6464.27</v>
      </c>
      <c r="AQ480">
        <v>0</v>
      </c>
      <c r="AR480" s="2">
        <v>9970.27</v>
      </c>
      <c r="AS480" t="s">
        <v>194</v>
      </c>
      <c r="AT480">
        <v>5876.61</v>
      </c>
      <c r="AU480">
        <v>587.66</v>
      </c>
      <c r="AV480">
        <v>2023</v>
      </c>
      <c r="AW480">
        <v>88</v>
      </c>
      <c r="AX480">
        <v>670</v>
      </c>
      <c r="AY480">
        <v>0</v>
      </c>
      <c r="AZ480" t="s">
        <v>854</v>
      </c>
      <c r="BA480">
        <v>6464.27</v>
      </c>
      <c r="BB480" s="1">
        <v>44978</v>
      </c>
    </row>
    <row r="481" spans="1:54" x14ac:dyDescent="0.25">
      <c r="A481">
        <v>2023</v>
      </c>
      <c r="B481">
        <v>212</v>
      </c>
      <c r="C481" s="1">
        <v>44978</v>
      </c>
      <c r="D481">
        <v>2023</v>
      </c>
      <c r="E481">
        <v>2023</v>
      </c>
      <c r="F481">
        <v>14</v>
      </c>
      <c r="H481" t="s">
        <v>852</v>
      </c>
      <c r="I481">
        <v>130</v>
      </c>
      <c r="J481">
        <v>0</v>
      </c>
      <c r="K481" t="s">
        <v>128</v>
      </c>
      <c r="R481" t="s">
        <v>190</v>
      </c>
      <c r="S481" t="str">
        <f t="shared" si="48"/>
        <v>31</v>
      </c>
      <c r="T481" t="s">
        <v>122</v>
      </c>
      <c r="W481" t="s">
        <v>850</v>
      </c>
      <c r="Y481">
        <v>3344</v>
      </c>
      <c r="Z481" t="s">
        <v>192</v>
      </c>
      <c r="AB481" t="str">
        <f t="shared" si="49"/>
        <v>02616630022</v>
      </c>
      <c r="AC481" t="s">
        <v>116</v>
      </c>
      <c r="AD481" t="s">
        <v>193</v>
      </c>
      <c r="AF481">
        <v>2023</v>
      </c>
      <c r="AG481">
        <v>133</v>
      </c>
      <c r="AH481" t="str">
        <f t="shared" si="47"/>
        <v>1</v>
      </c>
      <c r="AI481" t="str">
        <f>"5230005514"</f>
        <v>5230005514</v>
      </c>
      <c r="AJ481" s="1">
        <v>44944</v>
      </c>
      <c r="AL481" s="2">
        <v>1219.69</v>
      </c>
      <c r="AM481" t="str">
        <f>"8869216501"</f>
        <v>8869216501</v>
      </c>
      <c r="AN481">
        <v>2023</v>
      </c>
      <c r="AO481">
        <v>228</v>
      </c>
      <c r="AP481" s="2">
        <v>1219.69</v>
      </c>
      <c r="AQ481">
        <v>0</v>
      </c>
      <c r="AR481" s="2">
        <v>9970.27</v>
      </c>
      <c r="AS481" t="s">
        <v>194</v>
      </c>
      <c r="AT481">
        <v>1108.81</v>
      </c>
      <c r="AU481">
        <v>110.88</v>
      </c>
      <c r="AV481">
        <v>2023</v>
      </c>
      <c r="AW481">
        <v>88</v>
      </c>
      <c r="AX481">
        <v>670</v>
      </c>
      <c r="AY481">
        <v>0</v>
      </c>
      <c r="AZ481" t="s">
        <v>854</v>
      </c>
      <c r="BA481">
        <v>1219.69</v>
      </c>
      <c r="BB481" s="1">
        <v>44978</v>
      </c>
    </row>
    <row r="482" spans="1:54" x14ac:dyDescent="0.25">
      <c r="A482">
        <v>2023</v>
      </c>
      <c r="B482">
        <v>212</v>
      </c>
      <c r="C482" s="1">
        <v>44978</v>
      </c>
      <c r="D482">
        <v>2023</v>
      </c>
      <c r="E482">
        <v>2023</v>
      </c>
      <c r="F482">
        <v>14</v>
      </c>
      <c r="H482" t="s">
        <v>852</v>
      </c>
      <c r="I482">
        <v>130</v>
      </c>
      <c r="J482">
        <v>0</v>
      </c>
      <c r="K482" t="s">
        <v>128</v>
      </c>
      <c r="R482" t="s">
        <v>190</v>
      </c>
      <c r="S482" t="str">
        <f t="shared" si="48"/>
        <v>31</v>
      </c>
      <c r="T482" t="s">
        <v>122</v>
      </c>
      <c r="W482" t="s">
        <v>850</v>
      </c>
      <c r="Y482">
        <v>3344</v>
      </c>
      <c r="Z482" t="s">
        <v>192</v>
      </c>
      <c r="AB482" t="str">
        <f t="shared" si="49"/>
        <v>02616630022</v>
      </c>
      <c r="AC482" t="s">
        <v>116</v>
      </c>
      <c r="AD482" t="s">
        <v>193</v>
      </c>
      <c r="AF482">
        <v>2023</v>
      </c>
      <c r="AG482">
        <v>134</v>
      </c>
      <c r="AH482" t="str">
        <f t="shared" si="47"/>
        <v>1</v>
      </c>
      <c r="AI482" t="str">
        <f>"5230005629"</f>
        <v>5230005629</v>
      </c>
      <c r="AJ482" s="1">
        <v>44944</v>
      </c>
      <c r="AL482">
        <v>400</v>
      </c>
      <c r="AM482" t="str">
        <f>"8869274213"</f>
        <v>8869274213</v>
      </c>
      <c r="AN482">
        <v>2023</v>
      </c>
      <c r="AO482">
        <v>228</v>
      </c>
      <c r="AP482">
        <v>400</v>
      </c>
      <c r="AQ482">
        <v>0</v>
      </c>
      <c r="AR482" s="2">
        <v>9970.27</v>
      </c>
      <c r="AS482" t="s">
        <v>177</v>
      </c>
      <c r="AT482">
        <v>327.87</v>
      </c>
      <c r="AU482">
        <v>72.13</v>
      </c>
      <c r="AV482">
        <v>2023</v>
      </c>
      <c r="AW482">
        <v>88</v>
      </c>
      <c r="AX482">
        <v>670</v>
      </c>
      <c r="AY482">
        <v>0</v>
      </c>
      <c r="AZ482" t="s">
        <v>854</v>
      </c>
      <c r="BA482">
        <v>400</v>
      </c>
      <c r="BB482" s="1">
        <v>44978</v>
      </c>
    </row>
    <row r="483" spans="1:54" x14ac:dyDescent="0.25">
      <c r="A483">
        <v>2023</v>
      </c>
      <c r="B483">
        <v>212</v>
      </c>
      <c r="C483" s="1">
        <v>44978</v>
      </c>
      <c r="D483">
        <v>2023</v>
      </c>
      <c r="E483">
        <v>2023</v>
      </c>
      <c r="F483">
        <v>14</v>
      </c>
      <c r="H483" t="s">
        <v>852</v>
      </c>
      <c r="I483">
        <v>130</v>
      </c>
      <c r="J483">
        <v>0</v>
      </c>
      <c r="K483" t="s">
        <v>128</v>
      </c>
      <c r="R483" t="s">
        <v>190</v>
      </c>
      <c r="S483" t="str">
        <f t="shared" si="48"/>
        <v>31</v>
      </c>
      <c r="T483" t="s">
        <v>122</v>
      </c>
      <c r="W483" t="s">
        <v>850</v>
      </c>
      <c r="Y483">
        <v>3344</v>
      </c>
      <c r="Z483" t="s">
        <v>192</v>
      </c>
      <c r="AB483" t="str">
        <f t="shared" si="49"/>
        <v>02616630022</v>
      </c>
      <c r="AC483" t="s">
        <v>116</v>
      </c>
      <c r="AD483" t="s">
        <v>193</v>
      </c>
      <c r="AF483">
        <v>2023</v>
      </c>
      <c r="AG483">
        <v>135</v>
      </c>
      <c r="AH483" t="str">
        <f t="shared" si="47"/>
        <v>1</v>
      </c>
      <c r="AI483" t="str">
        <f>"5230005597"</f>
        <v>5230005597</v>
      </c>
      <c r="AJ483" s="1">
        <v>44944</v>
      </c>
      <c r="AL483">
        <v>2.1800000000000002</v>
      </c>
      <c r="AM483" t="str">
        <f>"8869273317"</f>
        <v>8869273317</v>
      </c>
      <c r="AN483">
        <v>2023</v>
      </c>
      <c r="AO483">
        <v>228</v>
      </c>
      <c r="AP483">
        <v>2.1800000000000002</v>
      </c>
      <c r="AQ483">
        <v>0</v>
      </c>
      <c r="AR483" s="2">
        <v>9970.27</v>
      </c>
      <c r="AS483" t="s">
        <v>194</v>
      </c>
      <c r="AT483">
        <v>1.98</v>
      </c>
      <c r="AU483">
        <v>0.2</v>
      </c>
      <c r="AV483">
        <v>2023</v>
      </c>
      <c r="AW483">
        <v>88</v>
      </c>
      <c r="AX483">
        <v>670</v>
      </c>
      <c r="AY483">
        <v>0</v>
      </c>
      <c r="AZ483" t="s">
        <v>854</v>
      </c>
      <c r="BA483">
        <v>2.1800000000000002</v>
      </c>
      <c r="BB483" s="1">
        <v>44978</v>
      </c>
    </row>
    <row r="484" spans="1:54" x14ac:dyDescent="0.25">
      <c r="A484">
        <v>2023</v>
      </c>
      <c r="B484">
        <v>212</v>
      </c>
      <c r="C484" s="1">
        <v>44978</v>
      </c>
      <c r="D484">
        <v>2023</v>
      </c>
      <c r="E484">
        <v>2023</v>
      </c>
      <c r="F484">
        <v>14</v>
      </c>
      <c r="H484" t="s">
        <v>852</v>
      </c>
      <c r="I484">
        <v>130</v>
      </c>
      <c r="J484">
        <v>0</v>
      </c>
      <c r="K484" t="s">
        <v>128</v>
      </c>
      <c r="R484" t="s">
        <v>190</v>
      </c>
      <c r="S484" t="str">
        <f t="shared" si="48"/>
        <v>31</v>
      </c>
      <c r="T484" t="s">
        <v>122</v>
      </c>
      <c r="W484" t="s">
        <v>850</v>
      </c>
      <c r="Y484">
        <v>3344</v>
      </c>
      <c r="Z484" t="s">
        <v>192</v>
      </c>
      <c r="AB484" t="str">
        <f t="shared" si="49"/>
        <v>02616630022</v>
      </c>
      <c r="AC484" t="s">
        <v>116</v>
      </c>
      <c r="AD484" t="s">
        <v>193</v>
      </c>
      <c r="AF484">
        <v>2023</v>
      </c>
      <c r="AG484">
        <v>137</v>
      </c>
      <c r="AH484" t="str">
        <f t="shared" si="47"/>
        <v>1</v>
      </c>
      <c r="AI484" t="str">
        <f>"5230005600"</f>
        <v>5230005600</v>
      </c>
      <c r="AJ484" s="1">
        <v>44944</v>
      </c>
      <c r="AL484">
        <v>39.97</v>
      </c>
      <c r="AM484" t="str">
        <f>"8869305731"</f>
        <v>8869305731</v>
      </c>
      <c r="AN484">
        <v>2023</v>
      </c>
      <c r="AO484">
        <v>228</v>
      </c>
      <c r="AP484">
        <v>39.97</v>
      </c>
      <c r="AQ484">
        <v>0</v>
      </c>
      <c r="AR484" s="2">
        <v>9970.27</v>
      </c>
      <c r="AS484" t="s">
        <v>194</v>
      </c>
      <c r="AT484">
        <v>36.340000000000003</v>
      </c>
      <c r="AU484">
        <v>3.63</v>
      </c>
      <c r="AV484">
        <v>2023</v>
      </c>
      <c r="AW484">
        <v>88</v>
      </c>
      <c r="AX484">
        <v>670</v>
      </c>
      <c r="AY484">
        <v>0</v>
      </c>
      <c r="AZ484" t="s">
        <v>854</v>
      </c>
      <c r="BA484">
        <v>39.97</v>
      </c>
      <c r="BB484" s="1">
        <v>44978</v>
      </c>
    </row>
    <row r="485" spans="1:54" x14ac:dyDescent="0.25">
      <c r="A485">
        <v>2023</v>
      </c>
      <c r="B485">
        <v>212</v>
      </c>
      <c r="C485" s="1">
        <v>44978</v>
      </c>
      <c r="D485">
        <v>2023</v>
      </c>
      <c r="E485">
        <v>2023</v>
      </c>
      <c r="F485">
        <v>14</v>
      </c>
      <c r="H485" t="s">
        <v>852</v>
      </c>
      <c r="I485">
        <v>130</v>
      </c>
      <c r="J485">
        <v>0</v>
      </c>
      <c r="K485" t="s">
        <v>128</v>
      </c>
      <c r="R485" t="s">
        <v>190</v>
      </c>
      <c r="S485" t="str">
        <f t="shared" si="48"/>
        <v>31</v>
      </c>
      <c r="T485" t="s">
        <v>122</v>
      </c>
      <c r="W485" t="s">
        <v>850</v>
      </c>
      <c r="Y485">
        <v>3344</v>
      </c>
      <c r="Z485" t="s">
        <v>192</v>
      </c>
      <c r="AB485" t="str">
        <f t="shared" si="49"/>
        <v>02616630022</v>
      </c>
      <c r="AC485" t="s">
        <v>116</v>
      </c>
      <c r="AD485" t="s">
        <v>193</v>
      </c>
      <c r="AF485">
        <v>2023</v>
      </c>
      <c r="AG485">
        <v>138</v>
      </c>
      <c r="AH485" t="str">
        <f t="shared" si="47"/>
        <v>1</v>
      </c>
      <c r="AI485" t="str">
        <f>"5230005660"</f>
        <v>5230005660</v>
      </c>
      <c r="AJ485" s="1">
        <v>44944</v>
      </c>
      <c r="AL485">
        <v>29.52</v>
      </c>
      <c r="AM485" t="str">
        <f>"8869250036"</f>
        <v>8869250036</v>
      </c>
      <c r="AN485">
        <v>2023</v>
      </c>
      <c r="AO485">
        <v>228</v>
      </c>
      <c r="AP485">
        <v>29.52</v>
      </c>
      <c r="AQ485">
        <v>0</v>
      </c>
      <c r="AR485" s="2">
        <v>9970.27</v>
      </c>
      <c r="AS485" t="s">
        <v>194</v>
      </c>
      <c r="AT485">
        <v>26.84</v>
      </c>
      <c r="AU485">
        <v>2.68</v>
      </c>
      <c r="AV485">
        <v>2023</v>
      </c>
      <c r="AW485">
        <v>88</v>
      </c>
      <c r="AX485">
        <v>670</v>
      </c>
      <c r="AY485">
        <v>0</v>
      </c>
      <c r="AZ485" t="s">
        <v>854</v>
      </c>
      <c r="BA485">
        <v>29.52</v>
      </c>
      <c r="BB485" s="1">
        <v>44978</v>
      </c>
    </row>
    <row r="486" spans="1:54" x14ac:dyDescent="0.25">
      <c r="A486">
        <v>2023</v>
      </c>
      <c r="B486">
        <v>212</v>
      </c>
      <c r="C486" s="1">
        <v>44978</v>
      </c>
      <c r="D486">
        <v>2023</v>
      </c>
      <c r="E486">
        <v>2023</v>
      </c>
      <c r="F486">
        <v>14</v>
      </c>
      <c r="H486" t="s">
        <v>852</v>
      </c>
      <c r="I486">
        <v>130</v>
      </c>
      <c r="J486">
        <v>0</v>
      </c>
      <c r="K486" t="s">
        <v>128</v>
      </c>
      <c r="R486" t="s">
        <v>190</v>
      </c>
      <c r="S486" t="str">
        <f t="shared" si="48"/>
        <v>31</v>
      </c>
      <c r="T486" t="s">
        <v>122</v>
      </c>
      <c r="W486" t="s">
        <v>850</v>
      </c>
      <c r="Y486">
        <v>3344</v>
      </c>
      <c r="Z486" t="s">
        <v>192</v>
      </c>
      <c r="AB486" t="str">
        <f t="shared" si="49"/>
        <v>02616630022</v>
      </c>
      <c r="AC486" t="s">
        <v>116</v>
      </c>
      <c r="AD486" t="s">
        <v>193</v>
      </c>
      <c r="AF486">
        <v>2023</v>
      </c>
      <c r="AG486">
        <v>140</v>
      </c>
      <c r="AH486" t="str">
        <f t="shared" si="47"/>
        <v>1</v>
      </c>
      <c r="AI486" t="str">
        <f>"5230005634"</f>
        <v>5230005634</v>
      </c>
      <c r="AJ486" s="1">
        <v>44944</v>
      </c>
      <c r="AL486" s="2">
        <v>1151.81</v>
      </c>
      <c r="AM486" t="str">
        <f>"8869304909"</f>
        <v>8869304909</v>
      </c>
      <c r="AN486">
        <v>2023</v>
      </c>
      <c r="AO486">
        <v>228</v>
      </c>
      <c r="AP486" s="2">
        <v>1151.81</v>
      </c>
      <c r="AQ486">
        <v>0</v>
      </c>
      <c r="AR486" s="2">
        <v>9970.27</v>
      </c>
      <c r="AS486" t="s">
        <v>194</v>
      </c>
      <c r="AT486">
        <v>1047.0999999999999</v>
      </c>
      <c r="AU486">
        <v>104.71</v>
      </c>
      <c r="AV486">
        <v>2023</v>
      </c>
      <c r="AW486">
        <v>88</v>
      </c>
      <c r="AX486">
        <v>670</v>
      </c>
      <c r="AY486">
        <v>0</v>
      </c>
      <c r="AZ486" t="s">
        <v>854</v>
      </c>
      <c r="BA486">
        <v>1151.81</v>
      </c>
      <c r="BB486" s="1">
        <v>44978</v>
      </c>
    </row>
    <row r="487" spans="1:54" x14ac:dyDescent="0.25">
      <c r="A487">
        <v>2023</v>
      </c>
      <c r="B487">
        <v>212</v>
      </c>
      <c r="C487" s="1">
        <v>44978</v>
      </c>
      <c r="D487">
        <v>2023</v>
      </c>
      <c r="E487">
        <v>2023</v>
      </c>
      <c r="F487">
        <v>14</v>
      </c>
      <c r="H487" t="s">
        <v>852</v>
      </c>
      <c r="I487">
        <v>130</v>
      </c>
      <c r="J487">
        <v>0</v>
      </c>
      <c r="K487" t="s">
        <v>128</v>
      </c>
      <c r="R487" t="s">
        <v>190</v>
      </c>
      <c r="S487" t="str">
        <f t="shared" si="48"/>
        <v>31</v>
      </c>
      <c r="T487" t="s">
        <v>122</v>
      </c>
      <c r="W487" t="s">
        <v>850</v>
      </c>
      <c r="Y487">
        <v>3344</v>
      </c>
      <c r="Z487" t="s">
        <v>192</v>
      </c>
      <c r="AB487" t="str">
        <f t="shared" si="49"/>
        <v>02616630022</v>
      </c>
      <c r="AC487" t="s">
        <v>116</v>
      </c>
      <c r="AD487" t="s">
        <v>193</v>
      </c>
      <c r="AF487">
        <v>2023</v>
      </c>
      <c r="AG487">
        <v>141</v>
      </c>
      <c r="AH487" t="str">
        <f t="shared" si="47"/>
        <v>1</v>
      </c>
      <c r="AI487" t="str">
        <f>"5230005657"</f>
        <v>5230005657</v>
      </c>
      <c r="AJ487" s="1">
        <v>44944</v>
      </c>
      <c r="AL487">
        <v>54.03</v>
      </c>
      <c r="AM487" t="str">
        <f>"8869305807"</f>
        <v>8869305807</v>
      </c>
      <c r="AN487">
        <v>2023</v>
      </c>
      <c r="AO487">
        <v>228</v>
      </c>
      <c r="AP487">
        <v>54.03</v>
      </c>
      <c r="AQ487">
        <v>0</v>
      </c>
      <c r="AR487" s="2">
        <v>9970.27</v>
      </c>
      <c r="AS487" t="s">
        <v>194</v>
      </c>
      <c r="AT487">
        <v>49.12</v>
      </c>
      <c r="AU487">
        <v>4.91</v>
      </c>
      <c r="AV487">
        <v>2023</v>
      </c>
      <c r="AW487">
        <v>88</v>
      </c>
      <c r="AX487">
        <v>670</v>
      </c>
      <c r="AY487">
        <v>0</v>
      </c>
      <c r="AZ487" t="s">
        <v>854</v>
      </c>
      <c r="BA487">
        <v>54.03</v>
      </c>
      <c r="BB487" s="1">
        <v>44978</v>
      </c>
    </row>
    <row r="488" spans="1:54" x14ac:dyDescent="0.25">
      <c r="A488">
        <v>2023</v>
      </c>
      <c r="B488">
        <v>212</v>
      </c>
      <c r="C488" s="1">
        <v>44978</v>
      </c>
      <c r="D488">
        <v>2023</v>
      </c>
      <c r="E488">
        <v>2023</v>
      </c>
      <c r="F488">
        <v>14</v>
      </c>
      <c r="H488" t="s">
        <v>852</v>
      </c>
      <c r="I488">
        <v>130</v>
      </c>
      <c r="J488">
        <v>0</v>
      </c>
      <c r="K488" t="s">
        <v>128</v>
      </c>
      <c r="R488" t="s">
        <v>190</v>
      </c>
      <c r="S488" t="str">
        <f t="shared" si="48"/>
        <v>31</v>
      </c>
      <c r="T488" t="s">
        <v>122</v>
      </c>
      <c r="W488" t="s">
        <v>850</v>
      </c>
      <c r="Y488">
        <v>3344</v>
      </c>
      <c r="Z488" t="s">
        <v>192</v>
      </c>
      <c r="AB488" t="str">
        <f t="shared" si="49"/>
        <v>02616630022</v>
      </c>
      <c r="AC488" t="s">
        <v>116</v>
      </c>
      <c r="AD488" t="s">
        <v>193</v>
      </c>
      <c r="AF488">
        <v>2023</v>
      </c>
      <c r="AG488">
        <v>142</v>
      </c>
      <c r="AH488" t="str">
        <f t="shared" si="47"/>
        <v>1</v>
      </c>
      <c r="AI488" t="str">
        <f>"5230005602"</f>
        <v>5230005602</v>
      </c>
      <c r="AJ488" s="1">
        <v>44944</v>
      </c>
      <c r="AL488" s="2">
        <v>3943.34</v>
      </c>
      <c r="AM488" t="str">
        <f>"8869319715"</f>
        <v>8869319715</v>
      </c>
      <c r="AN488">
        <v>2023</v>
      </c>
      <c r="AO488">
        <v>228</v>
      </c>
      <c r="AP488" s="2">
        <v>3943.34</v>
      </c>
      <c r="AQ488">
        <v>0</v>
      </c>
      <c r="AR488" s="2">
        <v>9970.27</v>
      </c>
      <c r="AS488" t="s">
        <v>194</v>
      </c>
      <c r="AT488">
        <v>3584.85</v>
      </c>
      <c r="AU488">
        <v>358.49</v>
      </c>
      <c r="AV488">
        <v>2023</v>
      </c>
      <c r="AW488">
        <v>88</v>
      </c>
      <c r="AX488">
        <v>670</v>
      </c>
      <c r="AY488">
        <v>0</v>
      </c>
      <c r="AZ488" t="s">
        <v>854</v>
      </c>
      <c r="BA488">
        <v>3943.34</v>
      </c>
      <c r="BB488" s="1">
        <v>44978</v>
      </c>
    </row>
    <row r="489" spans="1:54" x14ac:dyDescent="0.25">
      <c r="A489">
        <v>2023</v>
      </c>
      <c r="B489">
        <v>212</v>
      </c>
      <c r="C489" s="1">
        <v>44978</v>
      </c>
      <c r="D489">
        <v>2023</v>
      </c>
      <c r="E489">
        <v>2023</v>
      </c>
      <c r="F489">
        <v>14</v>
      </c>
      <c r="H489" t="s">
        <v>852</v>
      </c>
      <c r="I489">
        <v>130</v>
      </c>
      <c r="J489">
        <v>0</v>
      </c>
      <c r="K489" t="s">
        <v>128</v>
      </c>
      <c r="R489" t="s">
        <v>190</v>
      </c>
      <c r="S489" t="str">
        <f t="shared" si="48"/>
        <v>31</v>
      </c>
      <c r="T489" t="s">
        <v>122</v>
      </c>
      <c r="W489" t="s">
        <v>850</v>
      </c>
      <c r="Y489">
        <v>3344</v>
      </c>
      <c r="Z489" t="s">
        <v>192</v>
      </c>
      <c r="AB489" t="str">
        <f t="shared" si="49"/>
        <v>02616630022</v>
      </c>
      <c r="AC489" t="s">
        <v>116</v>
      </c>
      <c r="AD489" t="s">
        <v>193</v>
      </c>
      <c r="AF489">
        <v>2023</v>
      </c>
      <c r="AG489">
        <v>143</v>
      </c>
      <c r="AH489" t="str">
        <f t="shared" si="47"/>
        <v>1</v>
      </c>
      <c r="AI489" t="str">
        <f>"5230005619"</f>
        <v>5230005619</v>
      </c>
      <c r="AJ489" s="1">
        <v>44944</v>
      </c>
      <c r="AL489" s="2">
        <v>3786.81</v>
      </c>
      <c r="AM489" t="str">
        <f>"8869316528"</f>
        <v>8869316528</v>
      </c>
      <c r="AN489">
        <v>2023</v>
      </c>
      <c r="AO489">
        <v>228</v>
      </c>
      <c r="AP489" s="2">
        <v>3786.81</v>
      </c>
      <c r="AQ489">
        <v>0</v>
      </c>
      <c r="AR489" s="2">
        <v>9970.27</v>
      </c>
      <c r="AS489" t="s">
        <v>194</v>
      </c>
      <c r="AT489">
        <v>3442.55</v>
      </c>
      <c r="AU489">
        <v>344.26</v>
      </c>
      <c r="AV489">
        <v>2023</v>
      </c>
      <c r="AW489">
        <v>88</v>
      </c>
      <c r="AX489">
        <v>670</v>
      </c>
      <c r="AY489">
        <v>0</v>
      </c>
      <c r="AZ489" t="s">
        <v>854</v>
      </c>
      <c r="BA489">
        <v>3786.81</v>
      </c>
      <c r="BB489" s="1">
        <v>44978</v>
      </c>
    </row>
    <row r="490" spans="1:54" x14ac:dyDescent="0.25">
      <c r="A490">
        <v>2023</v>
      </c>
      <c r="B490">
        <v>212</v>
      </c>
      <c r="C490" s="1">
        <v>44978</v>
      </c>
      <c r="D490">
        <v>2023</v>
      </c>
      <c r="E490">
        <v>2023</v>
      </c>
      <c r="F490">
        <v>14</v>
      </c>
      <c r="H490" t="s">
        <v>852</v>
      </c>
      <c r="I490">
        <v>130</v>
      </c>
      <c r="J490">
        <v>0</v>
      </c>
      <c r="K490" t="s">
        <v>128</v>
      </c>
      <c r="R490" t="s">
        <v>190</v>
      </c>
      <c r="S490" t="str">
        <f t="shared" si="48"/>
        <v>31</v>
      </c>
      <c r="T490" t="s">
        <v>122</v>
      </c>
      <c r="W490" t="s">
        <v>850</v>
      </c>
      <c r="Y490">
        <v>3344</v>
      </c>
      <c r="Z490" t="s">
        <v>192</v>
      </c>
      <c r="AB490" t="str">
        <f t="shared" si="49"/>
        <v>02616630022</v>
      </c>
      <c r="AC490" t="s">
        <v>116</v>
      </c>
      <c r="AD490" t="s">
        <v>193</v>
      </c>
      <c r="AF490">
        <v>2023</v>
      </c>
      <c r="AG490">
        <v>144</v>
      </c>
      <c r="AH490" t="str">
        <f t="shared" si="47"/>
        <v>1</v>
      </c>
      <c r="AI490" t="str">
        <f>"5230005615"</f>
        <v>5230005615</v>
      </c>
      <c r="AJ490" s="1">
        <v>44944</v>
      </c>
      <c r="AL490" s="2">
        <v>1741.51</v>
      </c>
      <c r="AM490" t="str">
        <f>"8869295133"</f>
        <v>8869295133</v>
      </c>
      <c r="AN490">
        <v>2023</v>
      </c>
      <c r="AO490">
        <v>228</v>
      </c>
      <c r="AP490" s="2">
        <v>1741.51</v>
      </c>
      <c r="AQ490">
        <v>0</v>
      </c>
      <c r="AR490" s="2">
        <v>9970.27</v>
      </c>
      <c r="AS490" t="s">
        <v>194</v>
      </c>
      <c r="AT490">
        <v>1583.19</v>
      </c>
      <c r="AU490">
        <v>158.32</v>
      </c>
      <c r="AV490">
        <v>2023</v>
      </c>
      <c r="AW490">
        <v>88</v>
      </c>
      <c r="AX490">
        <v>670</v>
      </c>
      <c r="AY490">
        <v>0</v>
      </c>
      <c r="AZ490" t="s">
        <v>854</v>
      </c>
      <c r="BA490">
        <v>1741.51</v>
      </c>
      <c r="BB490" s="1">
        <v>44978</v>
      </c>
    </row>
    <row r="491" spans="1:54" x14ac:dyDescent="0.25">
      <c r="A491">
        <v>2023</v>
      </c>
      <c r="B491">
        <v>212</v>
      </c>
      <c r="C491" s="1">
        <v>44978</v>
      </c>
      <c r="D491">
        <v>2023</v>
      </c>
      <c r="E491">
        <v>2023</v>
      </c>
      <c r="F491">
        <v>14</v>
      </c>
      <c r="H491" t="s">
        <v>852</v>
      </c>
      <c r="I491">
        <v>130</v>
      </c>
      <c r="J491">
        <v>0</v>
      </c>
      <c r="K491" t="s">
        <v>128</v>
      </c>
      <c r="R491" t="s">
        <v>190</v>
      </c>
      <c r="S491" t="str">
        <f t="shared" si="48"/>
        <v>31</v>
      </c>
      <c r="T491" t="s">
        <v>122</v>
      </c>
      <c r="W491" t="s">
        <v>850</v>
      </c>
      <c r="Y491">
        <v>3344</v>
      </c>
      <c r="Z491" t="s">
        <v>192</v>
      </c>
      <c r="AB491" t="str">
        <f t="shared" si="49"/>
        <v>02616630022</v>
      </c>
      <c r="AC491" t="s">
        <v>116</v>
      </c>
      <c r="AD491" t="s">
        <v>193</v>
      </c>
      <c r="AF491">
        <v>2023</v>
      </c>
      <c r="AG491">
        <v>146</v>
      </c>
      <c r="AH491" t="str">
        <f t="shared" si="47"/>
        <v>1</v>
      </c>
      <c r="AI491" t="str">
        <f>"5230005639"</f>
        <v>5230005639</v>
      </c>
      <c r="AJ491" s="1">
        <v>44944</v>
      </c>
      <c r="AL491" s="2">
        <v>1662.38</v>
      </c>
      <c r="AM491" t="str">
        <f>"8869330430"</f>
        <v>8869330430</v>
      </c>
      <c r="AN491">
        <v>2023</v>
      </c>
      <c r="AO491">
        <v>228</v>
      </c>
      <c r="AP491" s="2">
        <v>1662.38</v>
      </c>
      <c r="AQ491">
        <v>0</v>
      </c>
      <c r="AR491" s="2">
        <v>9970.27</v>
      </c>
      <c r="AS491" t="s">
        <v>194</v>
      </c>
      <c r="AT491">
        <v>1511.25</v>
      </c>
      <c r="AU491">
        <v>151.13</v>
      </c>
      <c r="AV491">
        <v>2023</v>
      </c>
      <c r="AW491">
        <v>88</v>
      </c>
      <c r="AX491">
        <v>670</v>
      </c>
      <c r="AY491">
        <v>0</v>
      </c>
      <c r="AZ491" t="s">
        <v>854</v>
      </c>
      <c r="BA491">
        <v>1662.38</v>
      </c>
      <c r="BB491" s="1">
        <v>44978</v>
      </c>
    </row>
    <row r="492" spans="1:54" x14ac:dyDescent="0.25">
      <c r="A492">
        <v>2023</v>
      </c>
      <c r="B492">
        <v>212</v>
      </c>
      <c r="C492" s="1">
        <v>44978</v>
      </c>
      <c r="D492">
        <v>2023</v>
      </c>
      <c r="E492">
        <v>2023</v>
      </c>
      <c r="F492">
        <v>14</v>
      </c>
      <c r="H492" t="s">
        <v>852</v>
      </c>
      <c r="I492">
        <v>130</v>
      </c>
      <c r="J492">
        <v>0</v>
      </c>
      <c r="K492" t="s">
        <v>128</v>
      </c>
      <c r="R492" t="s">
        <v>190</v>
      </c>
      <c r="S492" t="str">
        <f t="shared" si="48"/>
        <v>31</v>
      </c>
      <c r="T492" t="s">
        <v>122</v>
      </c>
      <c r="W492" t="s">
        <v>850</v>
      </c>
      <c r="Y492">
        <v>3344</v>
      </c>
      <c r="Z492" t="s">
        <v>192</v>
      </c>
      <c r="AB492" t="str">
        <f t="shared" si="49"/>
        <v>02616630022</v>
      </c>
      <c r="AC492" t="s">
        <v>116</v>
      </c>
      <c r="AD492" t="s">
        <v>193</v>
      </c>
      <c r="AF492">
        <v>2023</v>
      </c>
      <c r="AG492">
        <v>147</v>
      </c>
      <c r="AH492" t="str">
        <f t="shared" si="47"/>
        <v>1</v>
      </c>
      <c r="AI492" t="str">
        <f>"5230005593"</f>
        <v>5230005593</v>
      </c>
      <c r="AJ492" s="1">
        <v>44944</v>
      </c>
      <c r="AL492">
        <v>27.06</v>
      </c>
      <c r="AM492" t="str">
        <f>"8869335732"</f>
        <v>8869335732</v>
      </c>
      <c r="AN492">
        <v>2023</v>
      </c>
      <c r="AO492">
        <v>228</v>
      </c>
      <c r="AP492">
        <v>27.06</v>
      </c>
      <c r="AQ492">
        <v>0</v>
      </c>
      <c r="AR492" s="2">
        <v>9970.27</v>
      </c>
      <c r="AS492" t="s">
        <v>194</v>
      </c>
      <c r="AT492">
        <v>24.6</v>
      </c>
      <c r="AU492">
        <v>2.46</v>
      </c>
      <c r="AV492">
        <v>2023</v>
      </c>
      <c r="AW492">
        <v>88</v>
      </c>
      <c r="AX492">
        <v>670</v>
      </c>
      <c r="AY492">
        <v>0</v>
      </c>
      <c r="AZ492" t="s">
        <v>854</v>
      </c>
      <c r="BA492">
        <v>27.06</v>
      </c>
      <c r="BB492" s="1">
        <v>44978</v>
      </c>
    </row>
    <row r="493" spans="1:54" x14ac:dyDescent="0.25">
      <c r="A493">
        <v>2023</v>
      </c>
      <c r="B493">
        <v>212</v>
      </c>
      <c r="C493" s="1">
        <v>44978</v>
      </c>
      <c r="D493">
        <v>2023</v>
      </c>
      <c r="E493">
        <v>2023</v>
      </c>
      <c r="F493">
        <v>14</v>
      </c>
      <c r="H493" t="s">
        <v>852</v>
      </c>
      <c r="I493">
        <v>130</v>
      </c>
      <c r="J493">
        <v>0</v>
      </c>
      <c r="K493" t="s">
        <v>128</v>
      </c>
      <c r="R493" t="s">
        <v>190</v>
      </c>
      <c r="S493" t="str">
        <f t="shared" si="48"/>
        <v>31</v>
      </c>
      <c r="T493" t="s">
        <v>122</v>
      </c>
      <c r="W493" t="s">
        <v>850</v>
      </c>
      <c r="Y493">
        <v>3344</v>
      </c>
      <c r="Z493" t="s">
        <v>192</v>
      </c>
      <c r="AB493" t="str">
        <f t="shared" si="49"/>
        <v>02616630022</v>
      </c>
      <c r="AC493" t="s">
        <v>116</v>
      </c>
      <c r="AD493" t="s">
        <v>193</v>
      </c>
      <c r="AF493">
        <v>2023</v>
      </c>
      <c r="AG493">
        <v>148</v>
      </c>
      <c r="AH493" t="str">
        <f t="shared" si="47"/>
        <v>1</v>
      </c>
      <c r="AI493" t="str">
        <f>"5230005654"</f>
        <v>5230005654</v>
      </c>
      <c r="AJ493" s="1">
        <v>44944</v>
      </c>
      <c r="AL493">
        <v>26.37</v>
      </c>
      <c r="AM493" t="str">
        <f>"8869332010"</f>
        <v>8869332010</v>
      </c>
      <c r="AN493">
        <v>2023</v>
      </c>
      <c r="AO493">
        <v>228</v>
      </c>
      <c r="AP493">
        <v>26.37</v>
      </c>
      <c r="AQ493">
        <v>0</v>
      </c>
      <c r="AR493" s="2">
        <v>9970.27</v>
      </c>
      <c r="AS493" t="s">
        <v>194</v>
      </c>
      <c r="AT493">
        <v>23.97</v>
      </c>
      <c r="AU493">
        <v>2.4</v>
      </c>
      <c r="AV493">
        <v>2023</v>
      </c>
      <c r="AW493">
        <v>88</v>
      </c>
      <c r="AX493">
        <v>670</v>
      </c>
      <c r="AY493">
        <v>0</v>
      </c>
      <c r="AZ493" t="s">
        <v>854</v>
      </c>
      <c r="BA493">
        <v>26.37</v>
      </c>
      <c r="BB493" s="1">
        <v>44978</v>
      </c>
    </row>
    <row r="494" spans="1:54" x14ac:dyDescent="0.25">
      <c r="A494">
        <v>2023</v>
      </c>
      <c r="B494">
        <v>212</v>
      </c>
      <c r="C494" s="1">
        <v>44978</v>
      </c>
      <c r="D494">
        <v>2023</v>
      </c>
      <c r="E494">
        <v>2023</v>
      </c>
      <c r="F494">
        <v>14</v>
      </c>
      <c r="H494" t="s">
        <v>852</v>
      </c>
      <c r="I494">
        <v>130</v>
      </c>
      <c r="J494">
        <v>0</v>
      </c>
      <c r="K494" t="s">
        <v>128</v>
      </c>
      <c r="R494" t="s">
        <v>190</v>
      </c>
      <c r="S494" t="str">
        <f t="shared" si="48"/>
        <v>31</v>
      </c>
      <c r="T494" t="s">
        <v>122</v>
      </c>
      <c r="W494" t="s">
        <v>850</v>
      </c>
      <c r="Y494">
        <v>3344</v>
      </c>
      <c r="Z494" t="s">
        <v>192</v>
      </c>
      <c r="AB494" t="str">
        <f t="shared" si="49"/>
        <v>02616630022</v>
      </c>
      <c r="AC494" t="s">
        <v>116</v>
      </c>
      <c r="AD494" t="s">
        <v>193</v>
      </c>
      <c r="AF494">
        <v>2023</v>
      </c>
      <c r="AG494">
        <v>149</v>
      </c>
      <c r="AH494" t="str">
        <f t="shared" si="47"/>
        <v>1</v>
      </c>
      <c r="AI494" t="str">
        <f>"5230005658"</f>
        <v>5230005658</v>
      </c>
      <c r="AJ494" s="1">
        <v>44944</v>
      </c>
      <c r="AL494">
        <v>159.29</v>
      </c>
      <c r="AM494" t="str">
        <f>"8869335329"</f>
        <v>8869335329</v>
      </c>
      <c r="AN494">
        <v>2023</v>
      </c>
      <c r="AO494">
        <v>228</v>
      </c>
      <c r="AP494">
        <v>159.29</v>
      </c>
      <c r="AQ494">
        <v>0</v>
      </c>
      <c r="AR494" s="2">
        <v>9970.27</v>
      </c>
      <c r="AS494" t="s">
        <v>194</v>
      </c>
      <c r="AT494">
        <v>144.81</v>
      </c>
      <c r="AU494">
        <v>14.48</v>
      </c>
      <c r="AV494">
        <v>2023</v>
      </c>
      <c r="AW494">
        <v>88</v>
      </c>
      <c r="AX494">
        <v>670</v>
      </c>
      <c r="AY494">
        <v>0</v>
      </c>
      <c r="AZ494" t="s">
        <v>854</v>
      </c>
      <c r="BA494">
        <v>159.29</v>
      </c>
      <c r="BB494" s="1">
        <v>44978</v>
      </c>
    </row>
    <row r="495" spans="1:54" x14ac:dyDescent="0.25">
      <c r="A495">
        <v>2023</v>
      </c>
      <c r="B495">
        <v>212</v>
      </c>
      <c r="C495" s="1">
        <v>44978</v>
      </c>
      <c r="D495">
        <v>2023</v>
      </c>
      <c r="E495">
        <v>2023</v>
      </c>
      <c r="F495">
        <v>14</v>
      </c>
      <c r="H495" t="s">
        <v>852</v>
      </c>
      <c r="I495">
        <v>130</v>
      </c>
      <c r="J495">
        <v>0</v>
      </c>
      <c r="K495" t="s">
        <v>128</v>
      </c>
      <c r="R495" t="s">
        <v>190</v>
      </c>
      <c r="S495" t="str">
        <f t="shared" si="48"/>
        <v>31</v>
      </c>
      <c r="T495" t="s">
        <v>122</v>
      </c>
      <c r="W495" t="s">
        <v>850</v>
      </c>
      <c r="Y495">
        <v>3344</v>
      </c>
      <c r="Z495" t="s">
        <v>192</v>
      </c>
      <c r="AB495" t="str">
        <f t="shared" si="49"/>
        <v>02616630022</v>
      </c>
      <c r="AC495" t="s">
        <v>116</v>
      </c>
      <c r="AD495" t="s">
        <v>193</v>
      </c>
      <c r="AF495">
        <v>2023</v>
      </c>
      <c r="AG495">
        <v>150</v>
      </c>
      <c r="AH495" t="str">
        <f t="shared" si="47"/>
        <v>1</v>
      </c>
      <c r="AI495" t="str">
        <f>"5230005624"</f>
        <v>5230005624</v>
      </c>
      <c r="AJ495" s="1">
        <v>44944</v>
      </c>
      <c r="AL495" s="2">
        <v>1152.93</v>
      </c>
      <c r="AM495" t="str">
        <f>"8869334614"</f>
        <v>8869334614</v>
      </c>
      <c r="AN495">
        <v>2023</v>
      </c>
      <c r="AO495">
        <v>228</v>
      </c>
      <c r="AP495" s="2">
        <v>1152.93</v>
      </c>
      <c r="AQ495">
        <v>0</v>
      </c>
      <c r="AR495" s="2">
        <v>9970.27</v>
      </c>
      <c r="AS495" t="s">
        <v>194</v>
      </c>
      <c r="AT495">
        <v>1048.1199999999999</v>
      </c>
      <c r="AU495">
        <v>104.81</v>
      </c>
      <c r="AV495">
        <v>2023</v>
      </c>
      <c r="AW495">
        <v>88</v>
      </c>
      <c r="AX495">
        <v>670</v>
      </c>
      <c r="AY495">
        <v>0</v>
      </c>
      <c r="AZ495" t="s">
        <v>854</v>
      </c>
      <c r="BA495">
        <v>1152.93</v>
      </c>
      <c r="BB495" s="1">
        <v>44978</v>
      </c>
    </row>
    <row r="496" spans="1:54" x14ac:dyDescent="0.25">
      <c r="A496">
        <v>2023</v>
      </c>
      <c r="B496">
        <v>212</v>
      </c>
      <c r="C496" s="1">
        <v>44978</v>
      </c>
      <c r="D496">
        <v>2023</v>
      </c>
      <c r="E496">
        <v>2023</v>
      </c>
      <c r="F496">
        <v>14</v>
      </c>
      <c r="H496" t="s">
        <v>852</v>
      </c>
      <c r="I496">
        <v>130</v>
      </c>
      <c r="J496">
        <v>0</v>
      </c>
      <c r="K496" t="s">
        <v>128</v>
      </c>
      <c r="R496" t="s">
        <v>190</v>
      </c>
      <c r="S496" t="str">
        <f t="shared" si="48"/>
        <v>31</v>
      </c>
      <c r="T496" t="s">
        <v>122</v>
      </c>
      <c r="W496" t="s">
        <v>850</v>
      </c>
      <c r="Y496">
        <v>3344</v>
      </c>
      <c r="Z496" t="s">
        <v>192</v>
      </c>
      <c r="AB496" t="str">
        <f t="shared" si="49"/>
        <v>02616630022</v>
      </c>
      <c r="AC496" t="s">
        <v>116</v>
      </c>
      <c r="AD496" t="s">
        <v>193</v>
      </c>
      <c r="AF496">
        <v>2023</v>
      </c>
      <c r="AG496">
        <v>151</v>
      </c>
      <c r="AH496" t="str">
        <f t="shared" si="47"/>
        <v>1</v>
      </c>
      <c r="AI496" t="str">
        <f>"5230005618"</f>
        <v>5230005618</v>
      </c>
      <c r="AJ496" s="1">
        <v>44944</v>
      </c>
      <c r="AL496">
        <v>449.54</v>
      </c>
      <c r="AM496" t="str">
        <f>"8869293917"</f>
        <v>8869293917</v>
      </c>
      <c r="AN496">
        <v>2023</v>
      </c>
      <c r="AO496">
        <v>228</v>
      </c>
      <c r="AP496">
        <v>449.54</v>
      </c>
      <c r="AQ496">
        <v>0</v>
      </c>
      <c r="AR496" s="2">
        <v>9970.27</v>
      </c>
      <c r="AS496" t="s">
        <v>194</v>
      </c>
      <c r="AT496">
        <v>408.67</v>
      </c>
      <c r="AU496">
        <v>40.869999999999997</v>
      </c>
      <c r="AV496">
        <v>2023</v>
      </c>
      <c r="AW496">
        <v>88</v>
      </c>
      <c r="AX496">
        <v>670</v>
      </c>
      <c r="AY496">
        <v>0</v>
      </c>
      <c r="AZ496" t="s">
        <v>854</v>
      </c>
      <c r="BA496">
        <v>449.54</v>
      </c>
      <c r="BB496" s="1">
        <v>44978</v>
      </c>
    </row>
    <row r="497" spans="1:54" x14ac:dyDescent="0.25">
      <c r="A497">
        <v>2023</v>
      </c>
      <c r="B497">
        <v>212</v>
      </c>
      <c r="C497" s="1">
        <v>44978</v>
      </c>
      <c r="D497">
        <v>2023</v>
      </c>
      <c r="E497">
        <v>2023</v>
      </c>
      <c r="F497">
        <v>14</v>
      </c>
      <c r="H497" t="s">
        <v>852</v>
      </c>
      <c r="I497">
        <v>130</v>
      </c>
      <c r="J497">
        <v>0</v>
      </c>
      <c r="K497" t="s">
        <v>128</v>
      </c>
      <c r="R497" t="s">
        <v>190</v>
      </c>
      <c r="S497" t="str">
        <f t="shared" si="48"/>
        <v>31</v>
      </c>
      <c r="T497" t="s">
        <v>122</v>
      </c>
      <c r="W497" t="s">
        <v>850</v>
      </c>
      <c r="Y497">
        <v>3344</v>
      </c>
      <c r="Z497" t="s">
        <v>192</v>
      </c>
      <c r="AB497" t="str">
        <f t="shared" si="49"/>
        <v>02616630022</v>
      </c>
      <c r="AC497" t="s">
        <v>116</v>
      </c>
      <c r="AD497" t="s">
        <v>193</v>
      </c>
      <c r="AF497">
        <v>2023</v>
      </c>
      <c r="AG497">
        <v>152</v>
      </c>
      <c r="AH497" t="str">
        <f t="shared" ref="AH497:AH528" si="50">"1"</f>
        <v>1</v>
      </c>
      <c r="AI497" t="str">
        <f>"5230005653"</f>
        <v>5230005653</v>
      </c>
      <c r="AJ497" s="1">
        <v>44944</v>
      </c>
      <c r="AL497">
        <v>72.12</v>
      </c>
      <c r="AM497" t="str">
        <f>"8869296627"</f>
        <v>8869296627</v>
      </c>
      <c r="AN497">
        <v>2023</v>
      </c>
      <c r="AO497">
        <v>228</v>
      </c>
      <c r="AP497">
        <v>72.12</v>
      </c>
      <c r="AQ497">
        <v>0</v>
      </c>
      <c r="AR497" s="2">
        <v>9970.27</v>
      </c>
      <c r="AS497" t="s">
        <v>194</v>
      </c>
      <c r="AT497">
        <v>65.56</v>
      </c>
      <c r="AU497">
        <v>6.56</v>
      </c>
      <c r="AV497">
        <v>2023</v>
      </c>
      <c r="AW497">
        <v>88</v>
      </c>
      <c r="AX497">
        <v>670</v>
      </c>
      <c r="AY497">
        <v>0</v>
      </c>
      <c r="AZ497" t="s">
        <v>854</v>
      </c>
      <c r="BA497">
        <v>72.12</v>
      </c>
      <c r="BB497" s="1">
        <v>44978</v>
      </c>
    </row>
    <row r="498" spans="1:54" x14ac:dyDescent="0.25">
      <c r="A498">
        <v>2023</v>
      </c>
      <c r="B498">
        <v>212</v>
      </c>
      <c r="C498" s="1">
        <v>44978</v>
      </c>
      <c r="D498">
        <v>2023</v>
      </c>
      <c r="E498">
        <v>2023</v>
      </c>
      <c r="F498">
        <v>14</v>
      </c>
      <c r="H498" t="s">
        <v>852</v>
      </c>
      <c r="I498">
        <v>130</v>
      </c>
      <c r="J498">
        <v>0</v>
      </c>
      <c r="K498" t="s">
        <v>128</v>
      </c>
      <c r="R498" t="s">
        <v>190</v>
      </c>
      <c r="S498" t="str">
        <f t="shared" si="48"/>
        <v>31</v>
      </c>
      <c r="T498" t="s">
        <v>122</v>
      </c>
      <c r="W498" t="s">
        <v>850</v>
      </c>
      <c r="Y498">
        <v>3344</v>
      </c>
      <c r="Z498" t="s">
        <v>192</v>
      </c>
      <c r="AB498" t="str">
        <f t="shared" si="49"/>
        <v>02616630022</v>
      </c>
      <c r="AC498" t="s">
        <v>116</v>
      </c>
      <c r="AD498" t="s">
        <v>193</v>
      </c>
      <c r="AF498">
        <v>2023</v>
      </c>
      <c r="AG498">
        <v>153</v>
      </c>
      <c r="AH498" t="str">
        <f t="shared" si="50"/>
        <v>1</v>
      </c>
      <c r="AI498" t="str">
        <f>"5230005620"</f>
        <v>5230005620</v>
      </c>
      <c r="AJ498" s="1">
        <v>44944</v>
      </c>
      <c r="AL498">
        <v>166.22</v>
      </c>
      <c r="AM498" t="str">
        <f>"8869336021"</f>
        <v>8869336021</v>
      </c>
      <c r="AN498">
        <v>2023</v>
      </c>
      <c r="AO498">
        <v>228</v>
      </c>
      <c r="AP498">
        <v>166.22</v>
      </c>
      <c r="AQ498">
        <v>0</v>
      </c>
      <c r="AR498" s="2">
        <v>9970.27</v>
      </c>
      <c r="AS498" t="s">
        <v>194</v>
      </c>
      <c r="AT498">
        <v>151.11000000000001</v>
      </c>
      <c r="AU498">
        <v>15.11</v>
      </c>
      <c r="AV498">
        <v>2023</v>
      </c>
      <c r="AW498">
        <v>88</v>
      </c>
      <c r="AX498">
        <v>670</v>
      </c>
      <c r="AY498">
        <v>0</v>
      </c>
      <c r="AZ498" t="s">
        <v>854</v>
      </c>
      <c r="BA498">
        <v>166.22</v>
      </c>
      <c r="BB498" s="1">
        <v>44978</v>
      </c>
    </row>
    <row r="499" spans="1:54" x14ac:dyDescent="0.25">
      <c r="A499">
        <v>2023</v>
      </c>
      <c r="B499">
        <v>212</v>
      </c>
      <c r="C499" s="1">
        <v>44978</v>
      </c>
      <c r="D499">
        <v>2023</v>
      </c>
      <c r="E499">
        <v>2023</v>
      </c>
      <c r="F499">
        <v>14</v>
      </c>
      <c r="H499" t="s">
        <v>852</v>
      </c>
      <c r="I499">
        <v>130</v>
      </c>
      <c r="J499">
        <v>0</v>
      </c>
      <c r="K499" t="s">
        <v>128</v>
      </c>
      <c r="R499" t="s">
        <v>190</v>
      </c>
      <c r="S499" t="str">
        <f t="shared" si="48"/>
        <v>31</v>
      </c>
      <c r="T499" t="s">
        <v>122</v>
      </c>
      <c r="W499" t="s">
        <v>850</v>
      </c>
      <c r="Y499">
        <v>3344</v>
      </c>
      <c r="Z499" t="s">
        <v>192</v>
      </c>
      <c r="AB499" t="str">
        <f t="shared" si="49"/>
        <v>02616630022</v>
      </c>
      <c r="AC499" t="s">
        <v>116</v>
      </c>
      <c r="AD499" t="s">
        <v>193</v>
      </c>
      <c r="AF499">
        <v>2023</v>
      </c>
      <c r="AG499">
        <v>155</v>
      </c>
      <c r="AH499" t="str">
        <f t="shared" si="50"/>
        <v>1</v>
      </c>
      <c r="AI499" t="str">
        <f>"5230005635"</f>
        <v>5230005635</v>
      </c>
      <c r="AJ499" s="1">
        <v>44944</v>
      </c>
      <c r="AL499">
        <v>434.51</v>
      </c>
      <c r="AM499" t="str">
        <f>"8869331940"</f>
        <v>8869331940</v>
      </c>
      <c r="AN499">
        <v>2023</v>
      </c>
      <c r="AO499">
        <v>228</v>
      </c>
      <c r="AP499">
        <v>434.51</v>
      </c>
      <c r="AQ499">
        <v>0</v>
      </c>
      <c r="AR499" s="2">
        <v>9970.27</v>
      </c>
      <c r="AS499" t="s">
        <v>194</v>
      </c>
      <c r="AT499">
        <v>395.01</v>
      </c>
      <c r="AU499">
        <v>39.5</v>
      </c>
      <c r="AV499">
        <v>2023</v>
      </c>
      <c r="AW499">
        <v>88</v>
      </c>
      <c r="AX499">
        <v>670</v>
      </c>
      <c r="AY499">
        <v>0</v>
      </c>
      <c r="AZ499" t="s">
        <v>854</v>
      </c>
      <c r="BA499">
        <v>434.51</v>
      </c>
      <c r="BB499" s="1">
        <v>44978</v>
      </c>
    </row>
    <row r="500" spans="1:54" x14ac:dyDescent="0.25">
      <c r="A500">
        <v>2023</v>
      </c>
      <c r="B500">
        <v>212</v>
      </c>
      <c r="C500" s="1">
        <v>44978</v>
      </c>
      <c r="D500">
        <v>2023</v>
      </c>
      <c r="E500">
        <v>2023</v>
      </c>
      <c r="F500">
        <v>14</v>
      </c>
      <c r="H500" t="s">
        <v>852</v>
      </c>
      <c r="I500">
        <v>130</v>
      </c>
      <c r="J500">
        <v>0</v>
      </c>
      <c r="K500" t="s">
        <v>128</v>
      </c>
      <c r="R500" t="s">
        <v>190</v>
      </c>
      <c r="S500" t="str">
        <f t="shared" si="48"/>
        <v>31</v>
      </c>
      <c r="T500" t="s">
        <v>122</v>
      </c>
      <c r="W500" t="s">
        <v>850</v>
      </c>
      <c r="Y500">
        <v>3344</v>
      </c>
      <c r="Z500" t="s">
        <v>192</v>
      </c>
      <c r="AB500" t="str">
        <f t="shared" si="49"/>
        <v>02616630022</v>
      </c>
      <c r="AC500" t="s">
        <v>116</v>
      </c>
      <c r="AD500" t="s">
        <v>193</v>
      </c>
      <c r="AF500">
        <v>2023</v>
      </c>
      <c r="AG500">
        <v>156</v>
      </c>
      <c r="AH500" t="str">
        <f t="shared" si="50"/>
        <v>1</v>
      </c>
      <c r="AI500" t="str">
        <f>"5230005603"</f>
        <v>5230005603</v>
      </c>
      <c r="AJ500" s="1">
        <v>44944</v>
      </c>
      <c r="AL500" s="2">
        <v>6979.15</v>
      </c>
      <c r="AM500" t="str">
        <f>"8869296826"</f>
        <v>8869296826</v>
      </c>
      <c r="AN500">
        <v>2023</v>
      </c>
      <c r="AO500">
        <v>228</v>
      </c>
      <c r="AP500" s="2">
        <v>6979.15</v>
      </c>
      <c r="AQ500">
        <v>0</v>
      </c>
      <c r="AR500" s="2">
        <v>9970.27</v>
      </c>
      <c r="AS500" t="s">
        <v>194</v>
      </c>
      <c r="AT500">
        <v>6344.68</v>
      </c>
      <c r="AU500">
        <v>634.47</v>
      </c>
      <c r="AV500">
        <v>2023</v>
      </c>
      <c r="AW500">
        <v>88</v>
      </c>
      <c r="AX500">
        <v>670</v>
      </c>
      <c r="AY500">
        <v>0</v>
      </c>
      <c r="AZ500" t="s">
        <v>854</v>
      </c>
      <c r="BA500">
        <v>6979.15</v>
      </c>
      <c r="BB500" s="1">
        <v>44978</v>
      </c>
    </row>
    <row r="501" spans="1:54" x14ac:dyDescent="0.25">
      <c r="A501">
        <v>2023</v>
      </c>
      <c r="B501">
        <v>212</v>
      </c>
      <c r="C501" s="1">
        <v>44978</v>
      </c>
      <c r="D501">
        <v>2023</v>
      </c>
      <c r="E501">
        <v>2023</v>
      </c>
      <c r="F501">
        <v>14</v>
      </c>
      <c r="H501" t="s">
        <v>852</v>
      </c>
      <c r="I501">
        <v>130</v>
      </c>
      <c r="J501">
        <v>0</v>
      </c>
      <c r="K501" t="s">
        <v>128</v>
      </c>
      <c r="R501" t="s">
        <v>190</v>
      </c>
      <c r="S501" t="str">
        <f t="shared" si="48"/>
        <v>31</v>
      </c>
      <c r="T501" t="s">
        <v>122</v>
      </c>
      <c r="W501" t="s">
        <v>850</v>
      </c>
      <c r="Y501">
        <v>3344</v>
      </c>
      <c r="Z501" t="s">
        <v>192</v>
      </c>
      <c r="AB501" t="str">
        <f t="shared" si="49"/>
        <v>02616630022</v>
      </c>
      <c r="AC501" t="s">
        <v>116</v>
      </c>
      <c r="AD501" t="s">
        <v>193</v>
      </c>
      <c r="AF501">
        <v>2023</v>
      </c>
      <c r="AG501">
        <v>157</v>
      </c>
      <c r="AH501" t="str">
        <f t="shared" si="50"/>
        <v>1</v>
      </c>
      <c r="AI501" t="str">
        <f>"5230005614"</f>
        <v>5230005614</v>
      </c>
      <c r="AJ501" s="1">
        <v>44944</v>
      </c>
      <c r="AL501">
        <v>36.54</v>
      </c>
      <c r="AM501" t="str">
        <f>"8869307812"</f>
        <v>8869307812</v>
      </c>
      <c r="AN501">
        <v>2023</v>
      </c>
      <c r="AO501">
        <v>228</v>
      </c>
      <c r="AP501">
        <v>36.54</v>
      </c>
      <c r="AQ501">
        <v>0</v>
      </c>
      <c r="AR501" s="2">
        <v>9970.27</v>
      </c>
      <c r="AS501" t="s">
        <v>194</v>
      </c>
      <c r="AT501">
        <v>33.22</v>
      </c>
      <c r="AU501">
        <v>3.32</v>
      </c>
      <c r="AV501">
        <v>2023</v>
      </c>
      <c r="AW501">
        <v>88</v>
      </c>
      <c r="AX501">
        <v>670</v>
      </c>
      <c r="AY501">
        <v>0</v>
      </c>
      <c r="AZ501" t="s">
        <v>854</v>
      </c>
      <c r="BA501">
        <v>36.54</v>
      </c>
      <c r="BB501" s="1">
        <v>44978</v>
      </c>
    </row>
    <row r="502" spans="1:54" x14ac:dyDescent="0.25">
      <c r="A502">
        <v>2023</v>
      </c>
      <c r="B502">
        <v>212</v>
      </c>
      <c r="C502" s="1">
        <v>44978</v>
      </c>
      <c r="D502">
        <v>2023</v>
      </c>
      <c r="E502">
        <v>2023</v>
      </c>
      <c r="F502">
        <v>14</v>
      </c>
      <c r="H502" t="s">
        <v>852</v>
      </c>
      <c r="I502">
        <v>130</v>
      </c>
      <c r="J502">
        <v>0</v>
      </c>
      <c r="K502" t="s">
        <v>128</v>
      </c>
      <c r="R502" t="s">
        <v>190</v>
      </c>
      <c r="S502" t="str">
        <f t="shared" si="48"/>
        <v>31</v>
      </c>
      <c r="T502" t="s">
        <v>122</v>
      </c>
      <c r="W502" t="s">
        <v>850</v>
      </c>
      <c r="Y502">
        <v>3344</v>
      </c>
      <c r="Z502" t="s">
        <v>192</v>
      </c>
      <c r="AB502" t="str">
        <f t="shared" si="49"/>
        <v>02616630022</v>
      </c>
      <c r="AC502" t="s">
        <v>116</v>
      </c>
      <c r="AD502" t="s">
        <v>193</v>
      </c>
      <c r="AF502">
        <v>2023</v>
      </c>
      <c r="AG502">
        <v>159</v>
      </c>
      <c r="AH502" t="str">
        <f t="shared" si="50"/>
        <v>1</v>
      </c>
      <c r="AI502" t="str">
        <f>"5230005642"</f>
        <v>5230005642</v>
      </c>
      <c r="AJ502" s="1">
        <v>44944</v>
      </c>
      <c r="AL502" s="2">
        <v>4824.6899999999996</v>
      </c>
      <c r="AM502" t="str">
        <f>"8869307041"</f>
        <v>8869307041</v>
      </c>
      <c r="AN502">
        <v>2023</v>
      </c>
      <c r="AO502">
        <v>228</v>
      </c>
      <c r="AP502" s="2">
        <v>4824.6899999999996</v>
      </c>
      <c r="AQ502">
        <v>0</v>
      </c>
      <c r="AR502" s="2">
        <v>9970.27</v>
      </c>
      <c r="AS502" t="s">
        <v>194</v>
      </c>
      <c r="AT502">
        <v>4386.08</v>
      </c>
      <c r="AU502">
        <v>438.61</v>
      </c>
      <c r="AV502">
        <v>2023</v>
      </c>
      <c r="AW502">
        <v>88</v>
      </c>
      <c r="AX502">
        <v>670</v>
      </c>
      <c r="AY502">
        <v>0</v>
      </c>
      <c r="AZ502" t="s">
        <v>854</v>
      </c>
      <c r="BA502">
        <v>4824.6899999999996</v>
      </c>
      <c r="BB502" s="1">
        <v>44978</v>
      </c>
    </row>
    <row r="503" spans="1:54" x14ac:dyDescent="0.25">
      <c r="A503">
        <v>2023</v>
      </c>
      <c r="B503">
        <v>212</v>
      </c>
      <c r="C503" s="1">
        <v>44978</v>
      </c>
      <c r="D503">
        <v>2023</v>
      </c>
      <c r="E503">
        <v>2023</v>
      </c>
      <c r="F503">
        <v>14</v>
      </c>
      <c r="H503" t="s">
        <v>852</v>
      </c>
      <c r="I503">
        <v>130</v>
      </c>
      <c r="J503">
        <v>0</v>
      </c>
      <c r="K503" t="s">
        <v>128</v>
      </c>
      <c r="R503" t="s">
        <v>190</v>
      </c>
      <c r="S503" t="str">
        <f t="shared" si="48"/>
        <v>31</v>
      </c>
      <c r="T503" t="s">
        <v>122</v>
      </c>
      <c r="W503" t="s">
        <v>850</v>
      </c>
      <c r="Y503">
        <v>3344</v>
      </c>
      <c r="Z503" t="s">
        <v>192</v>
      </c>
      <c r="AB503" t="str">
        <f t="shared" si="49"/>
        <v>02616630022</v>
      </c>
      <c r="AC503" t="s">
        <v>116</v>
      </c>
      <c r="AD503" t="s">
        <v>193</v>
      </c>
      <c r="AF503">
        <v>2023</v>
      </c>
      <c r="AG503">
        <v>161</v>
      </c>
      <c r="AH503" t="str">
        <f t="shared" si="50"/>
        <v>1</v>
      </c>
      <c r="AI503" t="str">
        <f>"5230005621"</f>
        <v>5230005621</v>
      </c>
      <c r="AJ503" s="1">
        <v>44944</v>
      </c>
      <c r="AL503" s="2">
        <v>6308.28</v>
      </c>
      <c r="AM503" t="str">
        <f>"8869316434"</f>
        <v>8869316434</v>
      </c>
      <c r="AN503">
        <v>2023</v>
      </c>
      <c r="AO503">
        <v>228</v>
      </c>
      <c r="AP503" s="2">
        <v>6308.28</v>
      </c>
      <c r="AQ503">
        <v>0</v>
      </c>
      <c r="AR503" s="2">
        <v>9970.27</v>
      </c>
      <c r="AS503" t="s">
        <v>194</v>
      </c>
      <c r="AT503">
        <v>5734.8</v>
      </c>
      <c r="AU503">
        <v>573.48</v>
      </c>
      <c r="AV503">
        <v>2023</v>
      </c>
      <c r="AW503">
        <v>88</v>
      </c>
      <c r="AX503">
        <v>670</v>
      </c>
      <c r="AY503">
        <v>0</v>
      </c>
      <c r="AZ503" t="s">
        <v>854</v>
      </c>
      <c r="BA503">
        <v>6308.28</v>
      </c>
      <c r="BB503" s="1">
        <v>44978</v>
      </c>
    </row>
    <row r="504" spans="1:54" x14ac:dyDescent="0.25">
      <c r="A504">
        <v>2023</v>
      </c>
      <c r="B504">
        <v>212</v>
      </c>
      <c r="C504" s="1">
        <v>44978</v>
      </c>
      <c r="D504">
        <v>2023</v>
      </c>
      <c r="E504">
        <v>2023</v>
      </c>
      <c r="F504">
        <v>14</v>
      </c>
      <c r="H504" t="s">
        <v>852</v>
      </c>
      <c r="I504">
        <v>130</v>
      </c>
      <c r="J504">
        <v>0</v>
      </c>
      <c r="K504" t="s">
        <v>128</v>
      </c>
      <c r="R504" t="s">
        <v>190</v>
      </c>
      <c r="S504" t="str">
        <f t="shared" si="48"/>
        <v>31</v>
      </c>
      <c r="T504" t="s">
        <v>122</v>
      </c>
      <c r="W504" t="s">
        <v>850</v>
      </c>
      <c r="Y504">
        <v>3344</v>
      </c>
      <c r="Z504" t="s">
        <v>192</v>
      </c>
      <c r="AB504" t="str">
        <f t="shared" si="49"/>
        <v>02616630022</v>
      </c>
      <c r="AC504" t="s">
        <v>116</v>
      </c>
      <c r="AD504" t="s">
        <v>193</v>
      </c>
      <c r="AF504">
        <v>2023</v>
      </c>
      <c r="AG504">
        <v>162</v>
      </c>
      <c r="AH504" t="str">
        <f t="shared" si="50"/>
        <v>1</v>
      </c>
      <c r="AI504" t="str">
        <f>"5230005622"</f>
        <v>5230005622</v>
      </c>
      <c r="AJ504" s="1">
        <v>44944</v>
      </c>
      <c r="AL504">
        <v>361.04</v>
      </c>
      <c r="AM504" t="str">
        <f>"8869335511"</f>
        <v>8869335511</v>
      </c>
      <c r="AN504">
        <v>2023</v>
      </c>
      <c r="AO504">
        <v>228</v>
      </c>
      <c r="AP504">
        <v>361.04</v>
      </c>
      <c r="AQ504">
        <v>0</v>
      </c>
      <c r="AR504" s="2">
        <v>9970.27</v>
      </c>
      <c r="AS504" t="s">
        <v>194</v>
      </c>
      <c r="AT504">
        <v>328.22</v>
      </c>
      <c r="AU504">
        <v>32.82</v>
      </c>
      <c r="AV504">
        <v>2023</v>
      </c>
      <c r="AW504">
        <v>88</v>
      </c>
      <c r="AX504">
        <v>670</v>
      </c>
      <c r="AY504">
        <v>0</v>
      </c>
      <c r="AZ504" t="s">
        <v>854</v>
      </c>
      <c r="BA504">
        <v>361.04</v>
      </c>
      <c r="BB504" s="1">
        <v>44978</v>
      </c>
    </row>
    <row r="505" spans="1:54" x14ac:dyDescent="0.25">
      <c r="A505">
        <v>2023</v>
      </c>
      <c r="B505">
        <v>212</v>
      </c>
      <c r="C505" s="1">
        <v>44978</v>
      </c>
      <c r="D505">
        <v>2023</v>
      </c>
      <c r="E505">
        <v>2023</v>
      </c>
      <c r="F505">
        <v>14</v>
      </c>
      <c r="H505" t="s">
        <v>852</v>
      </c>
      <c r="I505">
        <v>130</v>
      </c>
      <c r="J505">
        <v>0</v>
      </c>
      <c r="K505" t="s">
        <v>128</v>
      </c>
      <c r="R505" t="s">
        <v>190</v>
      </c>
      <c r="S505" t="str">
        <f t="shared" si="48"/>
        <v>31</v>
      </c>
      <c r="T505" t="s">
        <v>122</v>
      </c>
      <c r="W505" t="s">
        <v>850</v>
      </c>
      <c r="Y505">
        <v>3344</v>
      </c>
      <c r="Z505" t="s">
        <v>192</v>
      </c>
      <c r="AB505" t="str">
        <f t="shared" si="49"/>
        <v>02616630022</v>
      </c>
      <c r="AC505" t="s">
        <v>116</v>
      </c>
      <c r="AD505" t="s">
        <v>193</v>
      </c>
      <c r="AF505">
        <v>2023</v>
      </c>
      <c r="AG505">
        <v>165</v>
      </c>
      <c r="AH505" t="str">
        <f t="shared" si="50"/>
        <v>1</v>
      </c>
      <c r="AI505" t="str">
        <f>"5230005511"</f>
        <v>5230005511</v>
      </c>
      <c r="AJ505" s="1">
        <v>44944</v>
      </c>
      <c r="AL505" s="2">
        <v>2530.13</v>
      </c>
      <c r="AM505" t="str">
        <f>"8869463706"</f>
        <v>8869463706</v>
      </c>
      <c r="AN505">
        <v>2023</v>
      </c>
      <c r="AO505">
        <v>228</v>
      </c>
      <c r="AP505" s="2">
        <v>2530.13</v>
      </c>
      <c r="AQ505">
        <v>0</v>
      </c>
      <c r="AR505" s="2">
        <v>9970.27</v>
      </c>
      <c r="AS505" t="s">
        <v>194</v>
      </c>
      <c r="AT505">
        <v>2300.12</v>
      </c>
      <c r="AU505">
        <v>230.01</v>
      </c>
      <c r="AV505">
        <v>2023</v>
      </c>
      <c r="AW505">
        <v>88</v>
      </c>
      <c r="AX505">
        <v>670</v>
      </c>
      <c r="AY505">
        <v>0</v>
      </c>
      <c r="AZ505" t="s">
        <v>854</v>
      </c>
      <c r="BA505">
        <v>2530.13</v>
      </c>
      <c r="BB505" s="1">
        <v>44978</v>
      </c>
    </row>
    <row r="506" spans="1:54" x14ac:dyDescent="0.25">
      <c r="A506">
        <v>2023</v>
      </c>
      <c r="B506">
        <v>212</v>
      </c>
      <c r="C506" s="1">
        <v>44978</v>
      </c>
      <c r="D506">
        <v>2023</v>
      </c>
      <c r="E506">
        <v>2023</v>
      </c>
      <c r="F506">
        <v>14</v>
      </c>
      <c r="H506" t="s">
        <v>852</v>
      </c>
      <c r="I506">
        <v>130</v>
      </c>
      <c r="J506">
        <v>0</v>
      </c>
      <c r="K506" t="s">
        <v>128</v>
      </c>
      <c r="R506" t="s">
        <v>190</v>
      </c>
      <c r="S506" t="str">
        <f t="shared" si="48"/>
        <v>31</v>
      </c>
      <c r="T506" t="s">
        <v>122</v>
      </c>
      <c r="W506" t="s">
        <v>850</v>
      </c>
      <c r="Y506">
        <v>3344</v>
      </c>
      <c r="Z506" t="s">
        <v>192</v>
      </c>
      <c r="AB506" t="str">
        <f t="shared" si="49"/>
        <v>02616630022</v>
      </c>
      <c r="AC506" t="s">
        <v>116</v>
      </c>
      <c r="AD506" t="s">
        <v>193</v>
      </c>
      <c r="AF506">
        <v>2023</v>
      </c>
      <c r="AG506">
        <v>166</v>
      </c>
      <c r="AH506" t="str">
        <f t="shared" si="50"/>
        <v>1</v>
      </c>
      <c r="AI506" t="str">
        <f>"5230005512"</f>
        <v>5230005512</v>
      </c>
      <c r="AJ506" s="1">
        <v>44944</v>
      </c>
      <c r="AL506" s="2">
        <v>6043.33</v>
      </c>
      <c r="AM506" t="str">
        <f>"8869479705"</f>
        <v>8869479705</v>
      </c>
      <c r="AN506">
        <v>2023</v>
      </c>
      <c r="AO506">
        <v>228</v>
      </c>
      <c r="AP506" s="2">
        <v>6043.33</v>
      </c>
      <c r="AQ506">
        <v>0</v>
      </c>
      <c r="AR506" s="2">
        <v>9970.27</v>
      </c>
      <c r="AS506" t="s">
        <v>194</v>
      </c>
      <c r="AT506">
        <v>5493.94</v>
      </c>
      <c r="AU506">
        <v>549.39</v>
      </c>
      <c r="AV506">
        <v>2023</v>
      </c>
      <c r="AW506">
        <v>88</v>
      </c>
      <c r="AX506">
        <v>670</v>
      </c>
      <c r="AY506">
        <v>0</v>
      </c>
      <c r="AZ506" t="s">
        <v>854</v>
      </c>
      <c r="BA506">
        <v>6043.33</v>
      </c>
      <c r="BB506" s="1">
        <v>44978</v>
      </c>
    </row>
    <row r="507" spans="1:54" x14ac:dyDescent="0.25">
      <c r="A507">
        <v>2023</v>
      </c>
      <c r="B507">
        <v>212</v>
      </c>
      <c r="C507" s="1">
        <v>44978</v>
      </c>
      <c r="D507">
        <v>2023</v>
      </c>
      <c r="E507">
        <v>2023</v>
      </c>
      <c r="F507">
        <v>14</v>
      </c>
      <c r="H507" t="s">
        <v>852</v>
      </c>
      <c r="I507">
        <v>130</v>
      </c>
      <c r="J507">
        <v>0</v>
      </c>
      <c r="K507" t="s">
        <v>128</v>
      </c>
      <c r="R507" t="s">
        <v>190</v>
      </c>
      <c r="S507" t="str">
        <f t="shared" si="48"/>
        <v>31</v>
      </c>
      <c r="T507" t="s">
        <v>122</v>
      </c>
      <c r="W507" t="s">
        <v>850</v>
      </c>
      <c r="Y507">
        <v>3344</v>
      </c>
      <c r="Z507" t="s">
        <v>192</v>
      </c>
      <c r="AB507" t="str">
        <f t="shared" si="49"/>
        <v>02616630022</v>
      </c>
      <c r="AC507" t="s">
        <v>116</v>
      </c>
      <c r="AD507" t="s">
        <v>193</v>
      </c>
      <c r="AF507">
        <v>2023</v>
      </c>
      <c r="AG507">
        <v>167</v>
      </c>
      <c r="AH507" t="str">
        <f t="shared" si="50"/>
        <v>1</v>
      </c>
      <c r="AI507" t="str">
        <f>"5230005509"</f>
        <v>5230005509</v>
      </c>
      <c r="AJ507" s="1">
        <v>44944</v>
      </c>
      <c r="AL507" s="2">
        <v>2809.36</v>
      </c>
      <c r="AM507" t="str">
        <f>"8869519340"</f>
        <v>8869519340</v>
      </c>
      <c r="AN507">
        <v>2023</v>
      </c>
      <c r="AO507">
        <v>228</v>
      </c>
      <c r="AP507" s="2">
        <v>2809.36</v>
      </c>
      <c r="AQ507">
        <v>0</v>
      </c>
      <c r="AR507" s="2">
        <v>9970.27</v>
      </c>
      <c r="AS507" t="s">
        <v>194</v>
      </c>
      <c r="AT507">
        <v>2553.96</v>
      </c>
      <c r="AU507">
        <v>255.4</v>
      </c>
      <c r="AV507">
        <v>2023</v>
      </c>
      <c r="AW507">
        <v>88</v>
      </c>
      <c r="AX507">
        <v>670</v>
      </c>
      <c r="AY507">
        <v>0</v>
      </c>
      <c r="AZ507" t="s">
        <v>854</v>
      </c>
      <c r="BA507">
        <v>2809.36</v>
      </c>
      <c r="BB507" s="1">
        <v>44978</v>
      </c>
    </row>
    <row r="508" spans="1:54" x14ac:dyDescent="0.25">
      <c r="A508">
        <v>2023</v>
      </c>
      <c r="B508">
        <v>212</v>
      </c>
      <c r="C508" s="1">
        <v>44978</v>
      </c>
      <c r="D508">
        <v>2023</v>
      </c>
      <c r="E508">
        <v>2023</v>
      </c>
      <c r="F508">
        <v>14</v>
      </c>
      <c r="H508" t="s">
        <v>852</v>
      </c>
      <c r="I508">
        <v>130</v>
      </c>
      <c r="J508">
        <v>0</v>
      </c>
      <c r="K508" t="s">
        <v>128</v>
      </c>
      <c r="R508" t="s">
        <v>190</v>
      </c>
      <c r="S508" t="str">
        <f t="shared" si="48"/>
        <v>31</v>
      </c>
      <c r="T508" t="s">
        <v>122</v>
      </c>
      <c r="W508" t="s">
        <v>850</v>
      </c>
      <c r="Y508">
        <v>3344</v>
      </c>
      <c r="Z508" t="s">
        <v>192</v>
      </c>
      <c r="AB508" t="str">
        <f t="shared" si="49"/>
        <v>02616630022</v>
      </c>
      <c r="AC508" t="s">
        <v>116</v>
      </c>
      <c r="AD508" t="s">
        <v>193</v>
      </c>
      <c r="AF508">
        <v>2023</v>
      </c>
      <c r="AG508">
        <v>168</v>
      </c>
      <c r="AH508" t="str">
        <f t="shared" si="50"/>
        <v>1</v>
      </c>
      <c r="AI508" t="str">
        <f>"5230005516"</f>
        <v>5230005516</v>
      </c>
      <c r="AJ508" s="1">
        <v>44944</v>
      </c>
      <c r="AL508" s="2">
        <v>8596.06</v>
      </c>
      <c r="AM508" t="str">
        <f>"8869531410"</f>
        <v>8869531410</v>
      </c>
      <c r="AN508">
        <v>2023</v>
      </c>
      <c r="AO508">
        <v>228</v>
      </c>
      <c r="AP508" s="2">
        <v>8596.06</v>
      </c>
      <c r="AQ508">
        <v>0</v>
      </c>
      <c r="AR508" s="2">
        <v>9970.27</v>
      </c>
      <c r="AS508" t="s">
        <v>194</v>
      </c>
      <c r="AT508">
        <v>7814.6</v>
      </c>
      <c r="AU508">
        <v>781.46</v>
      </c>
      <c r="AV508">
        <v>2023</v>
      </c>
      <c r="AW508">
        <v>88</v>
      </c>
      <c r="AX508">
        <v>670</v>
      </c>
      <c r="AY508">
        <v>0</v>
      </c>
      <c r="AZ508" t="s">
        <v>854</v>
      </c>
      <c r="BA508">
        <v>8596.06</v>
      </c>
      <c r="BB508" s="1">
        <v>44978</v>
      </c>
    </row>
    <row r="509" spans="1:54" x14ac:dyDescent="0.25">
      <c r="A509">
        <v>2023</v>
      </c>
      <c r="B509">
        <v>212</v>
      </c>
      <c r="C509" s="1">
        <v>44978</v>
      </c>
      <c r="D509">
        <v>2023</v>
      </c>
      <c r="E509">
        <v>2023</v>
      </c>
      <c r="F509">
        <v>14</v>
      </c>
      <c r="H509" t="s">
        <v>852</v>
      </c>
      <c r="I509">
        <v>130</v>
      </c>
      <c r="J509">
        <v>0</v>
      </c>
      <c r="K509" t="s">
        <v>128</v>
      </c>
      <c r="R509" t="s">
        <v>190</v>
      </c>
      <c r="S509" t="str">
        <f t="shared" ref="S509:S540" si="51">"31"</f>
        <v>31</v>
      </c>
      <c r="T509" t="s">
        <v>122</v>
      </c>
      <c r="W509" t="s">
        <v>850</v>
      </c>
      <c r="Y509">
        <v>3344</v>
      </c>
      <c r="Z509" t="s">
        <v>192</v>
      </c>
      <c r="AB509" t="str">
        <f t="shared" ref="AB509:AB540" si="52">"02616630022"</f>
        <v>02616630022</v>
      </c>
      <c r="AC509" t="s">
        <v>116</v>
      </c>
      <c r="AD509" t="s">
        <v>193</v>
      </c>
      <c r="AF509">
        <v>2023</v>
      </c>
      <c r="AG509">
        <v>170</v>
      </c>
      <c r="AH509" t="str">
        <f t="shared" si="50"/>
        <v>1</v>
      </c>
      <c r="AI509" t="str">
        <f>"5230005648"</f>
        <v>5230005648</v>
      </c>
      <c r="AJ509" s="1">
        <v>44944</v>
      </c>
      <c r="AL509">
        <v>842.88</v>
      </c>
      <c r="AM509" t="str">
        <f>"8869306044"</f>
        <v>8869306044</v>
      </c>
      <c r="AN509">
        <v>2023</v>
      </c>
      <c r="AO509">
        <v>228</v>
      </c>
      <c r="AP509">
        <v>842.88</v>
      </c>
      <c r="AQ509">
        <v>0</v>
      </c>
      <c r="AR509" s="2">
        <v>9970.27</v>
      </c>
      <c r="AS509" t="s">
        <v>194</v>
      </c>
      <c r="AT509">
        <v>766.25</v>
      </c>
      <c r="AU509">
        <v>76.63</v>
      </c>
      <c r="AV509">
        <v>2023</v>
      </c>
      <c r="AW509">
        <v>88</v>
      </c>
      <c r="AX509">
        <v>670</v>
      </c>
      <c r="AY509">
        <v>0</v>
      </c>
      <c r="AZ509" t="s">
        <v>854</v>
      </c>
      <c r="BA509">
        <v>842.88</v>
      </c>
      <c r="BB509" s="1">
        <v>44978</v>
      </c>
    </row>
    <row r="510" spans="1:54" x14ac:dyDescent="0.25">
      <c r="A510">
        <v>2023</v>
      </c>
      <c r="B510">
        <v>212</v>
      </c>
      <c r="C510" s="1">
        <v>44978</v>
      </c>
      <c r="D510">
        <v>2023</v>
      </c>
      <c r="E510">
        <v>2023</v>
      </c>
      <c r="F510">
        <v>14</v>
      </c>
      <c r="H510" t="s">
        <v>852</v>
      </c>
      <c r="I510">
        <v>130</v>
      </c>
      <c r="J510">
        <v>0</v>
      </c>
      <c r="K510" t="s">
        <v>128</v>
      </c>
      <c r="R510" t="s">
        <v>190</v>
      </c>
      <c r="S510" t="str">
        <f t="shared" si="51"/>
        <v>31</v>
      </c>
      <c r="T510" t="s">
        <v>122</v>
      </c>
      <c r="W510" t="s">
        <v>850</v>
      </c>
      <c r="Y510">
        <v>3344</v>
      </c>
      <c r="Z510" t="s">
        <v>192</v>
      </c>
      <c r="AB510" t="str">
        <f t="shared" si="52"/>
        <v>02616630022</v>
      </c>
      <c r="AC510" t="s">
        <v>116</v>
      </c>
      <c r="AD510" t="s">
        <v>193</v>
      </c>
      <c r="AF510">
        <v>2023</v>
      </c>
      <c r="AG510">
        <v>171</v>
      </c>
      <c r="AH510" t="str">
        <f t="shared" si="50"/>
        <v>1</v>
      </c>
      <c r="AI510" t="str">
        <f>"5230005515"</f>
        <v>5230005515</v>
      </c>
      <c r="AJ510" s="1">
        <v>44944</v>
      </c>
      <c r="AL510" s="2">
        <v>3106.6</v>
      </c>
      <c r="AM510" t="str">
        <f>"8869527844"</f>
        <v>8869527844</v>
      </c>
      <c r="AN510">
        <v>2023</v>
      </c>
      <c r="AO510">
        <v>228</v>
      </c>
      <c r="AP510" s="2">
        <v>3106.6</v>
      </c>
      <c r="AQ510">
        <v>0</v>
      </c>
      <c r="AR510" s="2">
        <v>9970.27</v>
      </c>
      <c r="AS510" t="s">
        <v>194</v>
      </c>
      <c r="AT510">
        <v>2824.18</v>
      </c>
      <c r="AU510">
        <v>282.42</v>
      </c>
      <c r="AV510">
        <v>2023</v>
      </c>
      <c r="AW510">
        <v>88</v>
      </c>
      <c r="AX510">
        <v>670</v>
      </c>
      <c r="AY510">
        <v>0</v>
      </c>
      <c r="AZ510" t="s">
        <v>854</v>
      </c>
      <c r="BA510">
        <v>3106.6</v>
      </c>
      <c r="BB510" s="1">
        <v>44978</v>
      </c>
    </row>
    <row r="511" spans="1:54" x14ac:dyDescent="0.25">
      <c r="A511">
        <v>2023</v>
      </c>
      <c r="B511">
        <v>212</v>
      </c>
      <c r="C511" s="1">
        <v>44978</v>
      </c>
      <c r="D511">
        <v>2023</v>
      </c>
      <c r="E511">
        <v>2023</v>
      </c>
      <c r="F511">
        <v>14</v>
      </c>
      <c r="H511" t="s">
        <v>852</v>
      </c>
      <c r="I511">
        <v>130</v>
      </c>
      <c r="J511">
        <v>0</v>
      </c>
      <c r="K511" t="s">
        <v>128</v>
      </c>
      <c r="R511" t="s">
        <v>190</v>
      </c>
      <c r="S511" t="str">
        <f t="shared" si="51"/>
        <v>31</v>
      </c>
      <c r="T511" t="s">
        <v>122</v>
      </c>
      <c r="W511" t="s">
        <v>850</v>
      </c>
      <c r="Y511">
        <v>3344</v>
      </c>
      <c r="Z511" t="s">
        <v>192</v>
      </c>
      <c r="AB511" t="str">
        <f t="shared" si="52"/>
        <v>02616630022</v>
      </c>
      <c r="AC511" t="s">
        <v>116</v>
      </c>
      <c r="AD511" t="s">
        <v>193</v>
      </c>
      <c r="AF511">
        <v>2023</v>
      </c>
      <c r="AG511">
        <v>172</v>
      </c>
      <c r="AH511" t="str">
        <f t="shared" si="50"/>
        <v>1</v>
      </c>
      <c r="AI511" t="str">
        <f>"5230005596"</f>
        <v>5230005596</v>
      </c>
      <c r="AJ511" s="1">
        <v>44944</v>
      </c>
      <c r="AL511">
        <v>268.55</v>
      </c>
      <c r="AM511" t="str">
        <f>"8869309044"</f>
        <v>8869309044</v>
      </c>
      <c r="AN511">
        <v>2023</v>
      </c>
      <c r="AO511">
        <v>228</v>
      </c>
      <c r="AP511">
        <v>268.55</v>
      </c>
      <c r="AQ511">
        <v>0</v>
      </c>
      <c r="AR511" s="2">
        <v>9970.27</v>
      </c>
      <c r="AS511" t="s">
        <v>194</v>
      </c>
      <c r="AT511">
        <v>244.14</v>
      </c>
      <c r="AU511">
        <v>24.41</v>
      </c>
      <c r="AV511">
        <v>2023</v>
      </c>
      <c r="AW511">
        <v>88</v>
      </c>
      <c r="AX511">
        <v>670</v>
      </c>
      <c r="AY511">
        <v>0</v>
      </c>
      <c r="AZ511" t="s">
        <v>854</v>
      </c>
      <c r="BA511">
        <v>268.55</v>
      </c>
      <c r="BB511" s="1">
        <v>44978</v>
      </c>
    </row>
    <row r="512" spans="1:54" x14ac:dyDescent="0.25">
      <c r="A512">
        <v>2023</v>
      </c>
      <c r="B512">
        <v>212</v>
      </c>
      <c r="C512" s="1">
        <v>44978</v>
      </c>
      <c r="D512">
        <v>2023</v>
      </c>
      <c r="E512">
        <v>2023</v>
      </c>
      <c r="F512">
        <v>14</v>
      </c>
      <c r="H512" t="s">
        <v>852</v>
      </c>
      <c r="I512">
        <v>130</v>
      </c>
      <c r="J512">
        <v>0</v>
      </c>
      <c r="K512" t="s">
        <v>128</v>
      </c>
      <c r="R512" t="s">
        <v>190</v>
      </c>
      <c r="S512" t="str">
        <f t="shared" si="51"/>
        <v>31</v>
      </c>
      <c r="T512" t="s">
        <v>122</v>
      </c>
      <c r="W512" t="s">
        <v>850</v>
      </c>
      <c r="Y512">
        <v>3344</v>
      </c>
      <c r="Z512" t="s">
        <v>192</v>
      </c>
      <c r="AB512" t="str">
        <f t="shared" si="52"/>
        <v>02616630022</v>
      </c>
      <c r="AC512" t="s">
        <v>116</v>
      </c>
      <c r="AD512" t="s">
        <v>193</v>
      </c>
      <c r="AF512">
        <v>2023</v>
      </c>
      <c r="AG512">
        <v>174</v>
      </c>
      <c r="AH512" t="str">
        <f t="shared" si="50"/>
        <v>1</v>
      </c>
      <c r="AI512" t="str">
        <f>"5230005573"</f>
        <v>5230005573</v>
      </c>
      <c r="AJ512" s="1">
        <v>44944</v>
      </c>
      <c r="AL512">
        <v>912.24</v>
      </c>
      <c r="AM512" t="str">
        <f>"8868728745"</f>
        <v>8868728745</v>
      </c>
      <c r="AN512">
        <v>2023</v>
      </c>
      <c r="AO512">
        <v>228</v>
      </c>
      <c r="AP512">
        <v>912.24</v>
      </c>
      <c r="AQ512">
        <v>0</v>
      </c>
      <c r="AR512" s="2">
        <v>9970.27</v>
      </c>
      <c r="AS512" t="s">
        <v>194</v>
      </c>
      <c r="AT512">
        <v>829.31</v>
      </c>
      <c r="AU512">
        <v>82.93</v>
      </c>
      <c r="AV512">
        <v>2023</v>
      </c>
      <c r="AW512">
        <v>88</v>
      </c>
      <c r="AX512">
        <v>670</v>
      </c>
      <c r="AY512">
        <v>0</v>
      </c>
      <c r="AZ512" t="s">
        <v>854</v>
      </c>
      <c r="BA512">
        <v>912.24</v>
      </c>
      <c r="BB512" s="1">
        <v>44978</v>
      </c>
    </row>
    <row r="513" spans="1:54" x14ac:dyDescent="0.25">
      <c r="A513">
        <v>2023</v>
      </c>
      <c r="B513">
        <v>212</v>
      </c>
      <c r="C513" s="1">
        <v>44978</v>
      </c>
      <c r="D513">
        <v>2023</v>
      </c>
      <c r="E513">
        <v>2023</v>
      </c>
      <c r="F513">
        <v>14</v>
      </c>
      <c r="H513" t="s">
        <v>852</v>
      </c>
      <c r="I513">
        <v>130</v>
      </c>
      <c r="J513">
        <v>0</v>
      </c>
      <c r="K513" t="s">
        <v>128</v>
      </c>
      <c r="R513" t="s">
        <v>190</v>
      </c>
      <c r="S513" t="str">
        <f t="shared" si="51"/>
        <v>31</v>
      </c>
      <c r="T513" t="s">
        <v>122</v>
      </c>
      <c r="W513" t="s">
        <v>850</v>
      </c>
      <c r="Y513">
        <v>3344</v>
      </c>
      <c r="Z513" t="s">
        <v>192</v>
      </c>
      <c r="AB513" t="str">
        <f t="shared" si="52"/>
        <v>02616630022</v>
      </c>
      <c r="AC513" t="s">
        <v>116</v>
      </c>
      <c r="AD513" t="s">
        <v>193</v>
      </c>
      <c r="AF513">
        <v>2023</v>
      </c>
      <c r="AG513">
        <v>175</v>
      </c>
      <c r="AH513" t="str">
        <f t="shared" si="50"/>
        <v>1</v>
      </c>
      <c r="AI513" t="str">
        <f>"5230005532"</f>
        <v>5230005532</v>
      </c>
      <c r="AJ513" s="1">
        <v>44944</v>
      </c>
      <c r="AL513">
        <v>471.87</v>
      </c>
      <c r="AM513" t="str">
        <f>"8868724046"</f>
        <v>8868724046</v>
      </c>
      <c r="AN513">
        <v>2023</v>
      </c>
      <c r="AO513">
        <v>228</v>
      </c>
      <c r="AP513">
        <v>471.87</v>
      </c>
      <c r="AQ513">
        <v>0</v>
      </c>
      <c r="AR513" s="2">
        <v>9970.27</v>
      </c>
      <c r="AS513" t="s">
        <v>194</v>
      </c>
      <c r="AT513">
        <v>428.97</v>
      </c>
      <c r="AU513">
        <v>42.9</v>
      </c>
      <c r="AV513">
        <v>2023</v>
      </c>
      <c r="AW513">
        <v>88</v>
      </c>
      <c r="AX513">
        <v>670</v>
      </c>
      <c r="AY513">
        <v>0</v>
      </c>
      <c r="AZ513" t="s">
        <v>854</v>
      </c>
      <c r="BA513">
        <v>471.87</v>
      </c>
      <c r="BB513" s="1">
        <v>44978</v>
      </c>
    </row>
    <row r="514" spans="1:54" x14ac:dyDescent="0.25">
      <c r="A514">
        <v>2023</v>
      </c>
      <c r="B514">
        <v>212</v>
      </c>
      <c r="C514" s="1">
        <v>44978</v>
      </c>
      <c r="D514">
        <v>2023</v>
      </c>
      <c r="E514">
        <v>2023</v>
      </c>
      <c r="F514">
        <v>14</v>
      </c>
      <c r="H514" t="s">
        <v>852</v>
      </c>
      <c r="I514">
        <v>130</v>
      </c>
      <c r="J514">
        <v>0</v>
      </c>
      <c r="K514" t="s">
        <v>128</v>
      </c>
      <c r="R514" t="s">
        <v>190</v>
      </c>
      <c r="S514" t="str">
        <f t="shared" si="51"/>
        <v>31</v>
      </c>
      <c r="T514" t="s">
        <v>122</v>
      </c>
      <c r="W514" t="s">
        <v>850</v>
      </c>
      <c r="Y514">
        <v>3344</v>
      </c>
      <c r="Z514" t="s">
        <v>192</v>
      </c>
      <c r="AB514" t="str">
        <f t="shared" si="52"/>
        <v>02616630022</v>
      </c>
      <c r="AC514" t="s">
        <v>116</v>
      </c>
      <c r="AD514" t="s">
        <v>193</v>
      </c>
      <c r="AF514">
        <v>2023</v>
      </c>
      <c r="AG514">
        <v>176</v>
      </c>
      <c r="AH514" t="str">
        <f t="shared" si="50"/>
        <v>1</v>
      </c>
      <c r="AI514" t="str">
        <f>"5230005655"</f>
        <v>5230005655</v>
      </c>
      <c r="AJ514" s="1">
        <v>44944</v>
      </c>
      <c r="AL514">
        <v>34.32</v>
      </c>
      <c r="AM514" t="str">
        <f>"8869307446"</f>
        <v>8869307446</v>
      </c>
      <c r="AN514">
        <v>2023</v>
      </c>
      <c r="AO514">
        <v>228</v>
      </c>
      <c r="AP514">
        <v>34.32</v>
      </c>
      <c r="AQ514">
        <v>0</v>
      </c>
      <c r="AR514" s="2">
        <v>9970.27</v>
      </c>
      <c r="AS514" t="s">
        <v>194</v>
      </c>
      <c r="AT514">
        <v>31.2</v>
      </c>
      <c r="AU514">
        <v>3.12</v>
      </c>
      <c r="AV514">
        <v>2023</v>
      </c>
      <c r="AW514">
        <v>88</v>
      </c>
      <c r="AX514">
        <v>670</v>
      </c>
      <c r="AY514">
        <v>0</v>
      </c>
      <c r="AZ514" t="s">
        <v>854</v>
      </c>
      <c r="BA514">
        <v>34.32</v>
      </c>
      <c r="BB514" s="1">
        <v>44978</v>
      </c>
    </row>
    <row r="515" spans="1:54" x14ac:dyDescent="0.25">
      <c r="A515">
        <v>2023</v>
      </c>
      <c r="B515">
        <v>213</v>
      </c>
      <c r="C515" s="1">
        <v>44978</v>
      </c>
      <c r="D515">
        <v>2023</v>
      </c>
      <c r="E515">
        <v>2023</v>
      </c>
      <c r="F515">
        <v>14</v>
      </c>
      <c r="H515" t="s">
        <v>852</v>
      </c>
      <c r="I515">
        <v>130</v>
      </c>
      <c r="J515">
        <v>0</v>
      </c>
      <c r="K515" t="s">
        <v>128</v>
      </c>
      <c r="R515" t="s">
        <v>190</v>
      </c>
      <c r="S515" t="str">
        <f t="shared" si="51"/>
        <v>31</v>
      </c>
      <c r="T515" t="s">
        <v>122</v>
      </c>
      <c r="W515" t="s">
        <v>850</v>
      </c>
      <c r="Y515">
        <v>3344</v>
      </c>
      <c r="Z515" t="s">
        <v>192</v>
      </c>
      <c r="AB515" t="str">
        <f t="shared" si="52"/>
        <v>02616630022</v>
      </c>
      <c r="AC515" t="s">
        <v>116</v>
      </c>
      <c r="AD515" t="s">
        <v>193</v>
      </c>
      <c r="AF515">
        <v>2023</v>
      </c>
      <c r="AG515">
        <v>200</v>
      </c>
      <c r="AH515" t="str">
        <f t="shared" si="50"/>
        <v>1</v>
      </c>
      <c r="AI515" t="str">
        <f>"5230005521"</f>
        <v>5230005521</v>
      </c>
      <c r="AJ515" s="1">
        <v>44944</v>
      </c>
      <c r="AL515" s="2">
        <v>4091</v>
      </c>
      <c r="AM515" t="str">
        <f>"8868723063"</f>
        <v>8868723063</v>
      </c>
      <c r="AN515">
        <v>2023</v>
      </c>
      <c r="AO515">
        <v>228</v>
      </c>
      <c r="AP515" s="2">
        <v>4091</v>
      </c>
      <c r="AQ515">
        <v>0</v>
      </c>
      <c r="AR515" s="2">
        <v>17036.45</v>
      </c>
      <c r="AS515" t="s">
        <v>194</v>
      </c>
      <c r="AT515">
        <v>3719.09</v>
      </c>
      <c r="AU515">
        <v>371.91</v>
      </c>
      <c r="AV515">
        <v>2023</v>
      </c>
      <c r="AW515">
        <v>89</v>
      </c>
      <c r="AX515">
        <v>670</v>
      </c>
      <c r="AY515">
        <v>0</v>
      </c>
      <c r="AZ515" t="s">
        <v>855</v>
      </c>
      <c r="BA515">
        <v>4091</v>
      </c>
      <c r="BB515" s="1">
        <v>44978</v>
      </c>
    </row>
    <row r="516" spans="1:54" x14ac:dyDescent="0.25">
      <c r="A516">
        <v>2023</v>
      </c>
      <c r="B516">
        <v>213</v>
      </c>
      <c r="C516" s="1">
        <v>44978</v>
      </c>
      <c r="D516">
        <v>2023</v>
      </c>
      <c r="E516">
        <v>2023</v>
      </c>
      <c r="F516">
        <v>14</v>
      </c>
      <c r="H516" t="s">
        <v>852</v>
      </c>
      <c r="I516">
        <v>130</v>
      </c>
      <c r="J516">
        <v>0</v>
      </c>
      <c r="K516" t="s">
        <v>128</v>
      </c>
      <c r="R516" t="s">
        <v>190</v>
      </c>
      <c r="S516" t="str">
        <f t="shared" si="51"/>
        <v>31</v>
      </c>
      <c r="T516" t="s">
        <v>122</v>
      </c>
      <c r="W516" t="s">
        <v>850</v>
      </c>
      <c r="Y516">
        <v>3344</v>
      </c>
      <c r="Z516" t="s">
        <v>192</v>
      </c>
      <c r="AB516" t="str">
        <f t="shared" si="52"/>
        <v>02616630022</v>
      </c>
      <c r="AC516" t="s">
        <v>116</v>
      </c>
      <c r="AD516" t="s">
        <v>193</v>
      </c>
      <c r="AF516">
        <v>2023</v>
      </c>
      <c r="AG516">
        <v>177</v>
      </c>
      <c r="AH516" t="str">
        <f t="shared" si="50"/>
        <v>1</v>
      </c>
      <c r="AI516" t="str">
        <f>"5230005595"</f>
        <v>5230005595</v>
      </c>
      <c r="AJ516" s="1">
        <v>44944</v>
      </c>
      <c r="AL516">
        <v>551.72</v>
      </c>
      <c r="AM516" t="str">
        <f>"8869273947"</f>
        <v>8869273947</v>
      </c>
      <c r="AN516">
        <v>2023</v>
      </c>
      <c r="AO516">
        <v>228</v>
      </c>
      <c r="AP516">
        <v>551.72</v>
      </c>
      <c r="AQ516">
        <v>0</v>
      </c>
      <c r="AR516" s="2">
        <v>17036.45</v>
      </c>
      <c r="AS516" t="s">
        <v>194</v>
      </c>
      <c r="AT516">
        <v>501.56</v>
      </c>
      <c r="AU516">
        <v>50.16</v>
      </c>
      <c r="AV516">
        <v>2023</v>
      </c>
      <c r="AW516">
        <v>89</v>
      </c>
      <c r="AX516">
        <v>670</v>
      </c>
      <c r="AY516">
        <v>0</v>
      </c>
      <c r="AZ516" t="s">
        <v>855</v>
      </c>
      <c r="BA516">
        <v>551.72</v>
      </c>
      <c r="BB516" s="1">
        <v>44978</v>
      </c>
    </row>
    <row r="517" spans="1:54" x14ac:dyDescent="0.25">
      <c r="A517">
        <v>2023</v>
      </c>
      <c r="B517">
        <v>213</v>
      </c>
      <c r="C517" s="1">
        <v>44978</v>
      </c>
      <c r="D517">
        <v>2023</v>
      </c>
      <c r="E517">
        <v>2023</v>
      </c>
      <c r="F517">
        <v>14</v>
      </c>
      <c r="H517" t="s">
        <v>852</v>
      </c>
      <c r="I517">
        <v>130</v>
      </c>
      <c r="J517">
        <v>0</v>
      </c>
      <c r="K517" t="s">
        <v>128</v>
      </c>
      <c r="R517" t="s">
        <v>190</v>
      </c>
      <c r="S517" t="str">
        <f t="shared" si="51"/>
        <v>31</v>
      </c>
      <c r="T517" t="s">
        <v>122</v>
      </c>
      <c r="W517" t="s">
        <v>850</v>
      </c>
      <c r="Y517">
        <v>3344</v>
      </c>
      <c r="Z517" t="s">
        <v>192</v>
      </c>
      <c r="AB517" t="str">
        <f t="shared" si="52"/>
        <v>02616630022</v>
      </c>
      <c r="AC517" t="s">
        <v>116</v>
      </c>
      <c r="AD517" t="s">
        <v>193</v>
      </c>
      <c r="AF517">
        <v>2023</v>
      </c>
      <c r="AG517">
        <v>179</v>
      </c>
      <c r="AH517" t="str">
        <f t="shared" si="50"/>
        <v>1</v>
      </c>
      <c r="AI517" t="str">
        <f>"5230005613"</f>
        <v>5230005613</v>
      </c>
      <c r="AJ517" s="1">
        <v>44944</v>
      </c>
      <c r="AL517">
        <v>522.6</v>
      </c>
      <c r="AM517" t="str">
        <f>"8869275853"</f>
        <v>8869275853</v>
      </c>
      <c r="AN517">
        <v>2023</v>
      </c>
      <c r="AO517">
        <v>228</v>
      </c>
      <c r="AP517">
        <v>522.6</v>
      </c>
      <c r="AQ517">
        <v>0</v>
      </c>
      <c r="AR517" s="2">
        <v>17036.45</v>
      </c>
      <c r="AS517" t="s">
        <v>194</v>
      </c>
      <c r="AT517">
        <v>475.09</v>
      </c>
      <c r="AU517">
        <v>47.51</v>
      </c>
      <c r="AV517">
        <v>2023</v>
      </c>
      <c r="AW517">
        <v>89</v>
      </c>
      <c r="AX517">
        <v>670</v>
      </c>
      <c r="AY517">
        <v>0</v>
      </c>
      <c r="AZ517" t="s">
        <v>855</v>
      </c>
      <c r="BA517">
        <v>522.6</v>
      </c>
      <c r="BB517" s="1">
        <v>44978</v>
      </c>
    </row>
    <row r="518" spans="1:54" x14ac:dyDescent="0.25">
      <c r="A518">
        <v>2023</v>
      </c>
      <c r="B518">
        <v>213</v>
      </c>
      <c r="C518" s="1">
        <v>44978</v>
      </c>
      <c r="D518">
        <v>2023</v>
      </c>
      <c r="E518">
        <v>2023</v>
      </c>
      <c r="F518">
        <v>14</v>
      </c>
      <c r="H518" t="s">
        <v>852</v>
      </c>
      <c r="I518">
        <v>130</v>
      </c>
      <c r="J518">
        <v>0</v>
      </c>
      <c r="K518" t="s">
        <v>128</v>
      </c>
      <c r="R518" t="s">
        <v>190</v>
      </c>
      <c r="S518" t="str">
        <f t="shared" si="51"/>
        <v>31</v>
      </c>
      <c r="T518" t="s">
        <v>122</v>
      </c>
      <c r="W518" t="s">
        <v>850</v>
      </c>
      <c r="Y518">
        <v>3344</v>
      </c>
      <c r="Z518" t="s">
        <v>192</v>
      </c>
      <c r="AB518" t="str">
        <f t="shared" si="52"/>
        <v>02616630022</v>
      </c>
      <c r="AC518" t="s">
        <v>116</v>
      </c>
      <c r="AD518" t="s">
        <v>193</v>
      </c>
      <c r="AF518">
        <v>2023</v>
      </c>
      <c r="AG518">
        <v>180</v>
      </c>
      <c r="AH518" t="str">
        <f t="shared" si="50"/>
        <v>1</v>
      </c>
      <c r="AI518" t="str">
        <f>"5230005638"</f>
        <v>5230005638</v>
      </c>
      <c r="AJ518" s="1">
        <v>44944</v>
      </c>
      <c r="AL518" s="2">
        <v>1862.53</v>
      </c>
      <c r="AM518" t="str">
        <f>"8869295254"</f>
        <v>8869295254</v>
      </c>
      <c r="AN518">
        <v>2023</v>
      </c>
      <c r="AO518">
        <v>228</v>
      </c>
      <c r="AP518" s="2">
        <v>1862.53</v>
      </c>
      <c r="AQ518">
        <v>0</v>
      </c>
      <c r="AR518" s="2">
        <v>17036.45</v>
      </c>
      <c r="AS518" t="s">
        <v>194</v>
      </c>
      <c r="AT518">
        <v>1693.21</v>
      </c>
      <c r="AU518">
        <v>169.32</v>
      </c>
      <c r="AV518">
        <v>2023</v>
      </c>
      <c r="AW518">
        <v>89</v>
      </c>
      <c r="AX518">
        <v>670</v>
      </c>
      <c r="AY518">
        <v>0</v>
      </c>
      <c r="AZ518" t="s">
        <v>855</v>
      </c>
      <c r="BA518">
        <v>1862.53</v>
      </c>
      <c r="BB518" s="1">
        <v>44978</v>
      </c>
    </row>
    <row r="519" spans="1:54" x14ac:dyDescent="0.25">
      <c r="A519">
        <v>2023</v>
      </c>
      <c r="B519">
        <v>213</v>
      </c>
      <c r="C519" s="1">
        <v>44978</v>
      </c>
      <c r="D519">
        <v>2023</v>
      </c>
      <c r="E519">
        <v>2023</v>
      </c>
      <c r="F519">
        <v>14</v>
      </c>
      <c r="H519" t="s">
        <v>852</v>
      </c>
      <c r="I519">
        <v>130</v>
      </c>
      <c r="J519">
        <v>0</v>
      </c>
      <c r="K519" t="s">
        <v>128</v>
      </c>
      <c r="R519" t="s">
        <v>190</v>
      </c>
      <c r="S519" t="str">
        <f t="shared" si="51"/>
        <v>31</v>
      </c>
      <c r="T519" t="s">
        <v>122</v>
      </c>
      <c r="W519" t="s">
        <v>850</v>
      </c>
      <c r="Y519">
        <v>3344</v>
      </c>
      <c r="Z519" t="s">
        <v>192</v>
      </c>
      <c r="AB519" t="str">
        <f t="shared" si="52"/>
        <v>02616630022</v>
      </c>
      <c r="AC519" t="s">
        <v>116</v>
      </c>
      <c r="AD519" t="s">
        <v>193</v>
      </c>
      <c r="AF519">
        <v>2023</v>
      </c>
      <c r="AG519">
        <v>182</v>
      </c>
      <c r="AH519" t="str">
        <f t="shared" si="50"/>
        <v>1</v>
      </c>
      <c r="AI519" t="str">
        <f>"5230005534"</f>
        <v>5230005534</v>
      </c>
      <c r="AJ519" s="1">
        <v>44944</v>
      </c>
      <c r="AL519">
        <v>9.5500000000000007</v>
      </c>
      <c r="AM519" t="str">
        <f>"8868722249"</f>
        <v>8868722249</v>
      </c>
      <c r="AN519">
        <v>2023</v>
      </c>
      <c r="AO519">
        <v>228</v>
      </c>
      <c r="AP519">
        <v>9.5500000000000007</v>
      </c>
      <c r="AQ519">
        <v>0</v>
      </c>
      <c r="AR519" s="2">
        <v>17036.45</v>
      </c>
      <c r="AS519" t="s">
        <v>194</v>
      </c>
      <c r="AT519">
        <v>8.68</v>
      </c>
      <c r="AU519">
        <v>0.87</v>
      </c>
      <c r="AV519">
        <v>2023</v>
      </c>
      <c r="AW519">
        <v>89</v>
      </c>
      <c r="AX519">
        <v>670</v>
      </c>
      <c r="AY519">
        <v>0</v>
      </c>
      <c r="AZ519" t="s">
        <v>855</v>
      </c>
      <c r="BA519">
        <v>9.5500000000000007</v>
      </c>
      <c r="BB519" s="1">
        <v>44978</v>
      </c>
    </row>
    <row r="520" spans="1:54" x14ac:dyDescent="0.25">
      <c r="A520">
        <v>2023</v>
      </c>
      <c r="B520">
        <v>213</v>
      </c>
      <c r="C520" s="1">
        <v>44978</v>
      </c>
      <c r="D520">
        <v>2023</v>
      </c>
      <c r="E520">
        <v>2023</v>
      </c>
      <c r="F520">
        <v>14</v>
      </c>
      <c r="H520" t="s">
        <v>852</v>
      </c>
      <c r="I520">
        <v>130</v>
      </c>
      <c r="J520">
        <v>0</v>
      </c>
      <c r="K520" t="s">
        <v>128</v>
      </c>
      <c r="R520" t="s">
        <v>190</v>
      </c>
      <c r="S520" t="str">
        <f t="shared" si="51"/>
        <v>31</v>
      </c>
      <c r="T520" t="s">
        <v>122</v>
      </c>
      <c r="W520" t="s">
        <v>850</v>
      </c>
      <c r="Y520">
        <v>3344</v>
      </c>
      <c r="Z520" t="s">
        <v>192</v>
      </c>
      <c r="AB520" t="str">
        <f t="shared" si="52"/>
        <v>02616630022</v>
      </c>
      <c r="AC520" t="s">
        <v>116</v>
      </c>
      <c r="AD520" t="s">
        <v>193</v>
      </c>
      <c r="AF520">
        <v>2023</v>
      </c>
      <c r="AG520">
        <v>183</v>
      </c>
      <c r="AH520" t="str">
        <f t="shared" si="50"/>
        <v>1</v>
      </c>
      <c r="AI520" t="str">
        <f>"5230005640"</f>
        <v>5230005640</v>
      </c>
      <c r="AJ520" s="1">
        <v>44944</v>
      </c>
      <c r="AL520" s="2">
        <v>5931.73</v>
      </c>
      <c r="AM520" t="str">
        <f>"8869296749"</f>
        <v>8869296749</v>
      </c>
      <c r="AN520">
        <v>2023</v>
      </c>
      <c r="AO520">
        <v>228</v>
      </c>
      <c r="AP520" s="2">
        <v>5931.73</v>
      </c>
      <c r="AQ520">
        <v>0</v>
      </c>
      <c r="AR520" s="2">
        <v>17036.45</v>
      </c>
      <c r="AS520" t="s">
        <v>194</v>
      </c>
      <c r="AT520">
        <v>5392.48</v>
      </c>
      <c r="AU520">
        <v>539.25</v>
      </c>
      <c r="AV520">
        <v>2023</v>
      </c>
      <c r="AW520">
        <v>89</v>
      </c>
      <c r="AX520">
        <v>670</v>
      </c>
      <c r="AY520">
        <v>0</v>
      </c>
      <c r="AZ520" t="s">
        <v>855</v>
      </c>
      <c r="BA520">
        <v>5931.73</v>
      </c>
      <c r="BB520" s="1">
        <v>44978</v>
      </c>
    </row>
    <row r="521" spans="1:54" x14ac:dyDescent="0.25">
      <c r="A521">
        <v>2023</v>
      </c>
      <c r="B521">
        <v>213</v>
      </c>
      <c r="C521" s="1">
        <v>44978</v>
      </c>
      <c r="D521">
        <v>2023</v>
      </c>
      <c r="E521">
        <v>2023</v>
      </c>
      <c r="F521">
        <v>14</v>
      </c>
      <c r="H521" t="s">
        <v>852</v>
      </c>
      <c r="I521">
        <v>130</v>
      </c>
      <c r="J521">
        <v>0</v>
      </c>
      <c r="K521" t="s">
        <v>128</v>
      </c>
      <c r="R521" t="s">
        <v>190</v>
      </c>
      <c r="S521" t="str">
        <f t="shared" si="51"/>
        <v>31</v>
      </c>
      <c r="T521" t="s">
        <v>122</v>
      </c>
      <c r="W521" t="s">
        <v>850</v>
      </c>
      <c r="Y521">
        <v>3344</v>
      </c>
      <c r="Z521" t="s">
        <v>192</v>
      </c>
      <c r="AB521" t="str">
        <f t="shared" si="52"/>
        <v>02616630022</v>
      </c>
      <c r="AC521" t="s">
        <v>116</v>
      </c>
      <c r="AD521" t="s">
        <v>193</v>
      </c>
      <c r="AF521">
        <v>2023</v>
      </c>
      <c r="AG521">
        <v>185</v>
      </c>
      <c r="AH521" t="str">
        <f t="shared" si="50"/>
        <v>1</v>
      </c>
      <c r="AI521" t="str">
        <f>"5230005523"</f>
        <v>5230005523</v>
      </c>
      <c r="AJ521" s="1">
        <v>44944</v>
      </c>
      <c r="AL521" s="2">
        <v>6272.85</v>
      </c>
      <c r="AM521" t="str">
        <f>"8868721750"</f>
        <v>8868721750</v>
      </c>
      <c r="AN521">
        <v>2023</v>
      </c>
      <c r="AO521">
        <v>228</v>
      </c>
      <c r="AP521" s="2">
        <v>6272.85</v>
      </c>
      <c r="AQ521">
        <v>0</v>
      </c>
      <c r="AR521" s="2">
        <v>17036.45</v>
      </c>
      <c r="AS521" t="s">
        <v>194</v>
      </c>
      <c r="AT521">
        <v>5702.59</v>
      </c>
      <c r="AU521">
        <v>570.26</v>
      </c>
      <c r="AV521">
        <v>2023</v>
      </c>
      <c r="AW521">
        <v>89</v>
      </c>
      <c r="AX521">
        <v>670</v>
      </c>
      <c r="AY521">
        <v>0</v>
      </c>
      <c r="AZ521" t="s">
        <v>855</v>
      </c>
      <c r="BA521">
        <v>6272.85</v>
      </c>
      <c r="BB521" s="1">
        <v>44978</v>
      </c>
    </row>
    <row r="522" spans="1:54" x14ac:dyDescent="0.25">
      <c r="A522">
        <v>2023</v>
      </c>
      <c r="B522">
        <v>213</v>
      </c>
      <c r="C522" s="1">
        <v>44978</v>
      </c>
      <c r="D522">
        <v>2023</v>
      </c>
      <c r="E522">
        <v>2023</v>
      </c>
      <c r="F522">
        <v>14</v>
      </c>
      <c r="H522" t="s">
        <v>852</v>
      </c>
      <c r="I522">
        <v>130</v>
      </c>
      <c r="J522">
        <v>0</v>
      </c>
      <c r="K522" t="s">
        <v>128</v>
      </c>
      <c r="R522" t="s">
        <v>190</v>
      </c>
      <c r="S522" t="str">
        <f t="shared" si="51"/>
        <v>31</v>
      </c>
      <c r="T522" t="s">
        <v>122</v>
      </c>
      <c r="W522" t="s">
        <v>850</v>
      </c>
      <c r="Y522">
        <v>3344</v>
      </c>
      <c r="Z522" t="s">
        <v>192</v>
      </c>
      <c r="AB522" t="str">
        <f t="shared" si="52"/>
        <v>02616630022</v>
      </c>
      <c r="AC522" t="s">
        <v>116</v>
      </c>
      <c r="AD522" t="s">
        <v>193</v>
      </c>
      <c r="AF522">
        <v>2023</v>
      </c>
      <c r="AG522">
        <v>190</v>
      </c>
      <c r="AH522" t="str">
        <f t="shared" si="50"/>
        <v>1</v>
      </c>
      <c r="AI522" t="str">
        <f>"5230005529"</f>
        <v>5230005529</v>
      </c>
      <c r="AJ522" s="1">
        <v>44944</v>
      </c>
      <c r="AL522" s="2">
        <v>69711.990000000005</v>
      </c>
      <c r="AM522" t="str">
        <f>"8868723553"</f>
        <v>8868723553</v>
      </c>
      <c r="AN522">
        <v>2023</v>
      </c>
      <c r="AO522">
        <v>228</v>
      </c>
      <c r="AP522" s="2">
        <v>69711.990000000005</v>
      </c>
      <c r="AQ522">
        <v>0</v>
      </c>
      <c r="AR522" s="2">
        <v>17036.45</v>
      </c>
      <c r="AS522" t="s">
        <v>194</v>
      </c>
      <c r="AT522">
        <v>63374.54</v>
      </c>
      <c r="AU522">
        <v>6337.45</v>
      </c>
      <c r="AV522">
        <v>2023</v>
      </c>
      <c r="AW522">
        <v>89</v>
      </c>
      <c r="AX522">
        <v>670</v>
      </c>
      <c r="AY522">
        <v>0</v>
      </c>
      <c r="AZ522" t="s">
        <v>855</v>
      </c>
      <c r="BA522">
        <v>69711.990000000005</v>
      </c>
      <c r="BB522" s="1">
        <v>44978</v>
      </c>
    </row>
    <row r="523" spans="1:54" x14ac:dyDescent="0.25">
      <c r="A523">
        <v>2023</v>
      </c>
      <c r="B523">
        <v>213</v>
      </c>
      <c r="C523" s="1">
        <v>44978</v>
      </c>
      <c r="D523">
        <v>2023</v>
      </c>
      <c r="E523">
        <v>2023</v>
      </c>
      <c r="F523">
        <v>14</v>
      </c>
      <c r="H523" t="s">
        <v>852</v>
      </c>
      <c r="I523">
        <v>130</v>
      </c>
      <c r="J523">
        <v>0</v>
      </c>
      <c r="K523" t="s">
        <v>128</v>
      </c>
      <c r="R523" t="s">
        <v>190</v>
      </c>
      <c r="S523" t="str">
        <f t="shared" si="51"/>
        <v>31</v>
      </c>
      <c r="T523" t="s">
        <v>122</v>
      </c>
      <c r="W523" t="s">
        <v>850</v>
      </c>
      <c r="Y523">
        <v>3344</v>
      </c>
      <c r="Z523" t="s">
        <v>192</v>
      </c>
      <c r="AB523" t="str">
        <f t="shared" si="52"/>
        <v>02616630022</v>
      </c>
      <c r="AC523" t="s">
        <v>116</v>
      </c>
      <c r="AD523" t="s">
        <v>193</v>
      </c>
      <c r="AF523">
        <v>2023</v>
      </c>
      <c r="AG523">
        <v>191</v>
      </c>
      <c r="AH523" t="str">
        <f t="shared" si="50"/>
        <v>1</v>
      </c>
      <c r="AI523" t="str">
        <f>"5230005527"</f>
        <v>5230005527</v>
      </c>
      <c r="AJ523" s="1">
        <v>44944</v>
      </c>
      <c r="AL523" s="2">
        <v>2366.64</v>
      </c>
      <c r="AM523" t="str">
        <f>"8868722159"</f>
        <v>8868722159</v>
      </c>
      <c r="AN523">
        <v>2023</v>
      </c>
      <c r="AO523">
        <v>228</v>
      </c>
      <c r="AP523" s="2">
        <v>2366.64</v>
      </c>
      <c r="AQ523">
        <v>0</v>
      </c>
      <c r="AR523" s="2">
        <v>17036.45</v>
      </c>
      <c r="AS523" t="s">
        <v>194</v>
      </c>
      <c r="AT523">
        <v>2151.4899999999998</v>
      </c>
      <c r="AU523">
        <v>215.15</v>
      </c>
      <c r="AV523">
        <v>2023</v>
      </c>
      <c r="AW523">
        <v>89</v>
      </c>
      <c r="AX523">
        <v>670</v>
      </c>
      <c r="AY523">
        <v>0</v>
      </c>
      <c r="AZ523" t="s">
        <v>855</v>
      </c>
      <c r="BA523">
        <v>2366.64</v>
      </c>
      <c r="BB523" s="1">
        <v>44978</v>
      </c>
    </row>
    <row r="524" spans="1:54" x14ac:dyDescent="0.25">
      <c r="A524">
        <v>2023</v>
      </c>
      <c r="B524">
        <v>213</v>
      </c>
      <c r="C524" s="1">
        <v>44978</v>
      </c>
      <c r="D524">
        <v>2023</v>
      </c>
      <c r="E524">
        <v>2023</v>
      </c>
      <c r="F524">
        <v>14</v>
      </c>
      <c r="H524" t="s">
        <v>852</v>
      </c>
      <c r="I524">
        <v>130</v>
      </c>
      <c r="J524">
        <v>0</v>
      </c>
      <c r="K524" t="s">
        <v>128</v>
      </c>
      <c r="R524" t="s">
        <v>190</v>
      </c>
      <c r="S524" t="str">
        <f t="shared" si="51"/>
        <v>31</v>
      </c>
      <c r="T524" t="s">
        <v>122</v>
      </c>
      <c r="W524" t="s">
        <v>850</v>
      </c>
      <c r="Y524">
        <v>3344</v>
      </c>
      <c r="Z524" t="s">
        <v>192</v>
      </c>
      <c r="AB524" t="str">
        <f t="shared" si="52"/>
        <v>02616630022</v>
      </c>
      <c r="AC524" t="s">
        <v>116</v>
      </c>
      <c r="AD524" t="s">
        <v>193</v>
      </c>
      <c r="AF524">
        <v>2023</v>
      </c>
      <c r="AG524">
        <v>196</v>
      </c>
      <c r="AH524" t="str">
        <f t="shared" si="50"/>
        <v>1</v>
      </c>
      <c r="AI524" t="str">
        <f>"5230005587"</f>
        <v>5230005587</v>
      </c>
      <c r="AJ524" s="1">
        <v>44944</v>
      </c>
      <c r="AL524" s="2">
        <v>1132.1600000000001</v>
      </c>
      <c r="AM524" t="str">
        <f>"8868738165"</f>
        <v>8868738165</v>
      </c>
      <c r="AN524">
        <v>2023</v>
      </c>
      <c r="AO524">
        <v>228</v>
      </c>
      <c r="AP524" s="2">
        <v>1132.1600000000001</v>
      </c>
      <c r="AQ524">
        <v>0</v>
      </c>
      <c r="AR524" s="2">
        <v>17036.45</v>
      </c>
      <c r="AS524" t="s">
        <v>194</v>
      </c>
      <c r="AT524">
        <v>1029.24</v>
      </c>
      <c r="AU524">
        <v>102.92</v>
      </c>
      <c r="AV524">
        <v>2023</v>
      </c>
      <c r="AW524">
        <v>89</v>
      </c>
      <c r="AX524">
        <v>670</v>
      </c>
      <c r="AY524">
        <v>0</v>
      </c>
      <c r="AZ524" t="s">
        <v>855</v>
      </c>
      <c r="BA524">
        <v>1132.1600000000001</v>
      </c>
      <c r="BB524" s="1">
        <v>44978</v>
      </c>
    </row>
    <row r="525" spans="1:54" x14ac:dyDescent="0.25">
      <c r="A525">
        <v>2023</v>
      </c>
      <c r="B525">
        <v>213</v>
      </c>
      <c r="C525" s="1">
        <v>44978</v>
      </c>
      <c r="D525">
        <v>2023</v>
      </c>
      <c r="E525">
        <v>2023</v>
      </c>
      <c r="F525">
        <v>14</v>
      </c>
      <c r="H525" t="s">
        <v>852</v>
      </c>
      <c r="I525">
        <v>130</v>
      </c>
      <c r="J525">
        <v>0</v>
      </c>
      <c r="K525" t="s">
        <v>128</v>
      </c>
      <c r="R525" t="s">
        <v>190</v>
      </c>
      <c r="S525" t="str">
        <f t="shared" si="51"/>
        <v>31</v>
      </c>
      <c r="T525" t="s">
        <v>122</v>
      </c>
      <c r="W525" t="s">
        <v>850</v>
      </c>
      <c r="Y525">
        <v>3344</v>
      </c>
      <c r="Z525" t="s">
        <v>192</v>
      </c>
      <c r="AB525" t="str">
        <f t="shared" si="52"/>
        <v>02616630022</v>
      </c>
      <c r="AC525" t="s">
        <v>116</v>
      </c>
      <c r="AD525" t="s">
        <v>193</v>
      </c>
      <c r="AF525">
        <v>2023</v>
      </c>
      <c r="AG525">
        <v>201</v>
      </c>
      <c r="AH525" t="str">
        <f t="shared" si="50"/>
        <v>1</v>
      </c>
      <c r="AI525" t="str">
        <f>"5230005588"</f>
        <v>5230005588</v>
      </c>
      <c r="AJ525" s="1">
        <v>44944</v>
      </c>
      <c r="AL525">
        <v>26.3</v>
      </c>
      <c r="AM525" t="str">
        <f>"8868736668"</f>
        <v>8868736668</v>
      </c>
      <c r="AN525">
        <v>2023</v>
      </c>
      <c r="AO525">
        <v>228</v>
      </c>
      <c r="AP525">
        <v>26.3</v>
      </c>
      <c r="AQ525">
        <v>0</v>
      </c>
      <c r="AR525" s="2">
        <v>17036.45</v>
      </c>
      <c r="AS525" t="s">
        <v>194</v>
      </c>
      <c r="AT525">
        <v>23.91</v>
      </c>
      <c r="AU525">
        <v>2.39</v>
      </c>
      <c r="AV525">
        <v>2023</v>
      </c>
      <c r="AW525">
        <v>89</v>
      </c>
      <c r="AX525">
        <v>670</v>
      </c>
      <c r="AY525">
        <v>0</v>
      </c>
      <c r="AZ525" t="s">
        <v>855</v>
      </c>
      <c r="BA525">
        <v>26.3</v>
      </c>
      <c r="BB525" s="1">
        <v>44978</v>
      </c>
    </row>
    <row r="526" spans="1:54" x14ac:dyDescent="0.25">
      <c r="A526">
        <v>2023</v>
      </c>
      <c r="B526">
        <v>213</v>
      </c>
      <c r="C526" s="1">
        <v>44978</v>
      </c>
      <c r="D526">
        <v>2023</v>
      </c>
      <c r="E526">
        <v>2023</v>
      </c>
      <c r="F526">
        <v>14</v>
      </c>
      <c r="H526" t="s">
        <v>852</v>
      </c>
      <c r="I526">
        <v>130</v>
      </c>
      <c r="J526">
        <v>0</v>
      </c>
      <c r="K526" t="s">
        <v>128</v>
      </c>
      <c r="R526" t="s">
        <v>190</v>
      </c>
      <c r="S526" t="str">
        <f t="shared" si="51"/>
        <v>31</v>
      </c>
      <c r="T526" t="s">
        <v>122</v>
      </c>
      <c r="W526" t="s">
        <v>850</v>
      </c>
      <c r="Y526">
        <v>3344</v>
      </c>
      <c r="Z526" t="s">
        <v>192</v>
      </c>
      <c r="AB526" t="str">
        <f t="shared" si="52"/>
        <v>02616630022</v>
      </c>
      <c r="AC526" t="s">
        <v>116</v>
      </c>
      <c r="AD526" t="s">
        <v>193</v>
      </c>
      <c r="AF526">
        <v>2023</v>
      </c>
      <c r="AG526">
        <v>205</v>
      </c>
      <c r="AH526" t="str">
        <f t="shared" si="50"/>
        <v>1</v>
      </c>
      <c r="AI526" t="str">
        <f>"5230005524"</f>
        <v>5230005524</v>
      </c>
      <c r="AJ526" s="1">
        <v>44944</v>
      </c>
      <c r="AL526" s="2">
        <v>2990.43</v>
      </c>
      <c r="AM526" t="str">
        <f>"8868715381"</f>
        <v>8868715381</v>
      </c>
      <c r="AN526">
        <v>2023</v>
      </c>
      <c r="AO526">
        <v>228</v>
      </c>
      <c r="AP526" s="2">
        <v>2990.43</v>
      </c>
      <c r="AQ526">
        <v>0</v>
      </c>
      <c r="AR526" s="2">
        <v>17036.45</v>
      </c>
      <c r="AS526" t="s">
        <v>194</v>
      </c>
      <c r="AT526">
        <v>2718.57</v>
      </c>
      <c r="AU526">
        <v>271.86</v>
      </c>
      <c r="AV526">
        <v>2023</v>
      </c>
      <c r="AW526">
        <v>89</v>
      </c>
      <c r="AX526">
        <v>670</v>
      </c>
      <c r="AY526">
        <v>0</v>
      </c>
      <c r="AZ526" t="s">
        <v>855</v>
      </c>
      <c r="BA526">
        <v>2990.43</v>
      </c>
      <c r="BB526" s="1">
        <v>44978</v>
      </c>
    </row>
    <row r="527" spans="1:54" x14ac:dyDescent="0.25">
      <c r="A527">
        <v>2023</v>
      </c>
      <c r="B527">
        <v>213</v>
      </c>
      <c r="C527" s="1">
        <v>44978</v>
      </c>
      <c r="D527">
        <v>2023</v>
      </c>
      <c r="E527">
        <v>2023</v>
      </c>
      <c r="F527">
        <v>14</v>
      </c>
      <c r="H527" t="s">
        <v>852</v>
      </c>
      <c r="I527">
        <v>130</v>
      </c>
      <c r="J527">
        <v>0</v>
      </c>
      <c r="K527" t="s">
        <v>128</v>
      </c>
      <c r="R527" t="s">
        <v>190</v>
      </c>
      <c r="S527" t="str">
        <f t="shared" si="51"/>
        <v>31</v>
      </c>
      <c r="T527" t="s">
        <v>122</v>
      </c>
      <c r="W527" t="s">
        <v>850</v>
      </c>
      <c r="Y527">
        <v>3344</v>
      </c>
      <c r="Z527" t="s">
        <v>192</v>
      </c>
      <c r="AB527" t="str">
        <f t="shared" si="52"/>
        <v>02616630022</v>
      </c>
      <c r="AC527" t="s">
        <v>116</v>
      </c>
      <c r="AD527" t="s">
        <v>193</v>
      </c>
      <c r="AF527">
        <v>2023</v>
      </c>
      <c r="AG527">
        <v>207</v>
      </c>
      <c r="AH527" t="str">
        <f t="shared" si="50"/>
        <v>1</v>
      </c>
      <c r="AI527" t="str">
        <f>"5230005542"</f>
        <v>5230005542</v>
      </c>
      <c r="AJ527" s="1">
        <v>44944</v>
      </c>
      <c r="AL527" s="2">
        <v>18648.599999999999</v>
      </c>
      <c r="AM527" t="str">
        <f>"8868721387"</f>
        <v>8868721387</v>
      </c>
      <c r="AN527">
        <v>2023</v>
      </c>
      <c r="AO527">
        <v>228</v>
      </c>
      <c r="AP527" s="2">
        <v>18648.599999999999</v>
      </c>
      <c r="AQ527">
        <v>0</v>
      </c>
      <c r="AR527" s="2">
        <v>17036.45</v>
      </c>
      <c r="AS527" t="s">
        <v>194</v>
      </c>
      <c r="AT527">
        <v>16953.27</v>
      </c>
      <c r="AU527">
        <v>1695.33</v>
      </c>
      <c r="AV527">
        <v>2023</v>
      </c>
      <c r="AW527">
        <v>89</v>
      </c>
      <c r="AX527">
        <v>670</v>
      </c>
      <c r="AY527">
        <v>0</v>
      </c>
      <c r="AZ527" t="s">
        <v>855</v>
      </c>
      <c r="BA527">
        <v>18648.599999999999</v>
      </c>
      <c r="BB527" s="1">
        <v>44978</v>
      </c>
    </row>
    <row r="528" spans="1:54" x14ac:dyDescent="0.25">
      <c r="A528">
        <v>2023</v>
      </c>
      <c r="B528">
        <v>213</v>
      </c>
      <c r="C528" s="1">
        <v>44978</v>
      </c>
      <c r="D528">
        <v>2023</v>
      </c>
      <c r="E528">
        <v>2023</v>
      </c>
      <c r="F528">
        <v>14</v>
      </c>
      <c r="H528" t="s">
        <v>852</v>
      </c>
      <c r="I528">
        <v>130</v>
      </c>
      <c r="J528">
        <v>0</v>
      </c>
      <c r="K528" t="s">
        <v>128</v>
      </c>
      <c r="R528" t="s">
        <v>190</v>
      </c>
      <c r="S528" t="str">
        <f t="shared" si="51"/>
        <v>31</v>
      </c>
      <c r="T528" t="s">
        <v>122</v>
      </c>
      <c r="W528" t="s">
        <v>850</v>
      </c>
      <c r="Y528">
        <v>3344</v>
      </c>
      <c r="Z528" t="s">
        <v>192</v>
      </c>
      <c r="AB528" t="str">
        <f t="shared" si="52"/>
        <v>02616630022</v>
      </c>
      <c r="AC528" t="s">
        <v>116</v>
      </c>
      <c r="AD528" t="s">
        <v>193</v>
      </c>
      <c r="AF528">
        <v>2023</v>
      </c>
      <c r="AG528">
        <v>209</v>
      </c>
      <c r="AH528" t="str">
        <f t="shared" si="50"/>
        <v>1</v>
      </c>
      <c r="AI528" t="str">
        <f>"5230005519"</f>
        <v>5230005519</v>
      </c>
      <c r="AJ528" s="1">
        <v>44944</v>
      </c>
      <c r="AL528" s="2">
        <v>4420.7</v>
      </c>
      <c r="AM528" t="str">
        <f>"8868714874"</f>
        <v>8868714874</v>
      </c>
      <c r="AN528">
        <v>2023</v>
      </c>
      <c r="AO528">
        <v>228</v>
      </c>
      <c r="AP528" s="2">
        <v>4420.7</v>
      </c>
      <c r="AQ528">
        <v>0</v>
      </c>
      <c r="AR528" s="2">
        <v>17036.45</v>
      </c>
      <c r="AS528" t="s">
        <v>194</v>
      </c>
      <c r="AT528">
        <v>4018.82</v>
      </c>
      <c r="AU528">
        <v>401.88</v>
      </c>
      <c r="AV528">
        <v>2023</v>
      </c>
      <c r="AW528">
        <v>89</v>
      </c>
      <c r="AX528">
        <v>670</v>
      </c>
      <c r="AY528">
        <v>0</v>
      </c>
      <c r="AZ528" t="s">
        <v>855</v>
      </c>
      <c r="BA528">
        <v>4420.7</v>
      </c>
      <c r="BB528" s="1">
        <v>44978</v>
      </c>
    </row>
    <row r="529" spans="1:54" x14ac:dyDescent="0.25">
      <c r="A529">
        <v>2023</v>
      </c>
      <c r="B529">
        <v>213</v>
      </c>
      <c r="C529" s="1">
        <v>44978</v>
      </c>
      <c r="D529">
        <v>2023</v>
      </c>
      <c r="E529">
        <v>2023</v>
      </c>
      <c r="F529">
        <v>14</v>
      </c>
      <c r="H529" t="s">
        <v>852</v>
      </c>
      <c r="I529">
        <v>130</v>
      </c>
      <c r="J529">
        <v>0</v>
      </c>
      <c r="K529" t="s">
        <v>128</v>
      </c>
      <c r="R529" t="s">
        <v>190</v>
      </c>
      <c r="S529" t="str">
        <f t="shared" si="51"/>
        <v>31</v>
      </c>
      <c r="T529" t="s">
        <v>122</v>
      </c>
      <c r="W529" t="s">
        <v>850</v>
      </c>
      <c r="Y529">
        <v>3344</v>
      </c>
      <c r="Z529" t="s">
        <v>192</v>
      </c>
      <c r="AB529" t="str">
        <f t="shared" si="52"/>
        <v>02616630022</v>
      </c>
      <c r="AC529" t="s">
        <v>116</v>
      </c>
      <c r="AD529" t="s">
        <v>193</v>
      </c>
      <c r="AF529">
        <v>2023</v>
      </c>
      <c r="AG529">
        <v>210</v>
      </c>
      <c r="AH529" t="str">
        <f t="shared" ref="AH529:AH560" si="53">"1"</f>
        <v>1</v>
      </c>
      <c r="AI529" t="str">
        <f>"5230005586"</f>
        <v>5230005586</v>
      </c>
      <c r="AJ529" s="1">
        <v>44944</v>
      </c>
      <c r="AL529" s="2">
        <v>3112.02</v>
      </c>
      <c r="AM529" t="str">
        <f>"8868732575"</f>
        <v>8868732575</v>
      </c>
      <c r="AN529">
        <v>2023</v>
      </c>
      <c r="AO529">
        <v>228</v>
      </c>
      <c r="AP529" s="2">
        <v>3112.02</v>
      </c>
      <c r="AQ529">
        <v>0</v>
      </c>
      <c r="AR529" s="2">
        <v>17036.45</v>
      </c>
      <c r="AS529" t="s">
        <v>194</v>
      </c>
      <c r="AT529">
        <v>2829.11</v>
      </c>
      <c r="AU529">
        <v>282.91000000000003</v>
      </c>
      <c r="AV529">
        <v>2023</v>
      </c>
      <c r="AW529">
        <v>89</v>
      </c>
      <c r="AX529">
        <v>670</v>
      </c>
      <c r="AY529">
        <v>0</v>
      </c>
      <c r="AZ529" t="s">
        <v>855</v>
      </c>
      <c r="BA529">
        <v>3112.02</v>
      </c>
      <c r="BB529" s="1">
        <v>44978</v>
      </c>
    </row>
    <row r="530" spans="1:54" x14ac:dyDescent="0.25">
      <c r="A530">
        <v>2023</v>
      </c>
      <c r="B530">
        <v>213</v>
      </c>
      <c r="C530" s="1">
        <v>44978</v>
      </c>
      <c r="D530">
        <v>2023</v>
      </c>
      <c r="E530">
        <v>2023</v>
      </c>
      <c r="F530">
        <v>14</v>
      </c>
      <c r="H530" t="s">
        <v>852</v>
      </c>
      <c r="I530">
        <v>130</v>
      </c>
      <c r="J530">
        <v>0</v>
      </c>
      <c r="K530" t="s">
        <v>128</v>
      </c>
      <c r="R530" t="s">
        <v>190</v>
      </c>
      <c r="S530" t="str">
        <f t="shared" si="51"/>
        <v>31</v>
      </c>
      <c r="T530" t="s">
        <v>122</v>
      </c>
      <c r="W530" t="s">
        <v>850</v>
      </c>
      <c r="Y530">
        <v>3344</v>
      </c>
      <c r="Z530" t="s">
        <v>192</v>
      </c>
      <c r="AB530" t="str">
        <f t="shared" si="52"/>
        <v>02616630022</v>
      </c>
      <c r="AC530" t="s">
        <v>116</v>
      </c>
      <c r="AD530" t="s">
        <v>193</v>
      </c>
      <c r="AF530">
        <v>2023</v>
      </c>
      <c r="AG530">
        <v>211</v>
      </c>
      <c r="AH530" t="str">
        <f t="shared" si="53"/>
        <v>1</v>
      </c>
      <c r="AI530" t="str">
        <f>"5230005517"</f>
        <v>5230005517</v>
      </c>
      <c r="AJ530" s="1">
        <v>44944</v>
      </c>
      <c r="AL530" s="2">
        <v>3772.79</v>
      </c>
      <c r="AM530" t="str">
        <f>"8868734094"</f>
        <v>8868734094</v>
      </c>
      <c r="AN530">
        <v>2023</v>
      </c>
      <c r="AO530">
        <v>228</v>
      </c>
      <c r="AP530" s="2">
        <v>3772.79</v>
      </c>
      <c r="AQ530">
        <v>0</v>
      </c>
      <c r="AR530" s="2">
        <v>17036.45</v>
      </c>
      <c r="AS530" t="s">
        <v>194</v>
      </c>
      <c r="AT530">
        <v>3429.81</v>
      </c>
      <c r="AU530">
        <v>342.98</v>
      </c>
      <c r="AV530">
        <v>2023</v>
      </c>
      <c r="AW530">
        <v>89</v>
      </c>
      <c r="AX530">
        <v>670</v>
      </c>
      <c r="AY530">
        <v>0</v>
      </c>
      <c r="AZ530" t="s">
        <v>855</v>
      </c>
      <c r="BA530">
        <v>3772.79</v>
      </c>
      <c r="BB530" s="1">
        <v>44978</v>
      </c>
    </row>
    <row r="531" spans="1:54" x14ac:dyDescent="0.25">
      <c r="A531">
        <v>2023</v>
      </c>
      <c r="B531">
        <v>213</v>
      </c>
      <c r="C531" s="1">
        <v>44978</v>
      </c>
      <c r="D531">
        <v>2023</v>
      </c>
      <c r="E531">
        <v>2023</v>
      </c>
      <c r="F531">
        <v>14</v>
      </c>
      <c r="H531" t="s">
        <v>852</v>
      </c>
      <c r="I531">
        <v>130</v>
      </c>
      <c r="J531">
        <v>0</v>
      </c>
      <c r="K531" t="s">
        <v>128</v>
      </c>
      <c r="R531" t="s">
        <v>190</v>
      </c>
      <c r="S531" t="str">
        <f t="shared" si="51"/>
        <v>31</v>
      </c>
      <c r="T531" t="s">
        <v>122</v>
      </c>
      <c r="W531" t="s">
        <v>850</v>
      </c>
      <c r="Y531">
        <v>3344</v>
      </c>
      <c r="Z531" t="s">
        <v>192</v>
      </c>
      <c r="AB531" t="str">
        <f t="shared" si="52"/>
        <v>02616630022</v>
      </c>
      <c r="AC531" t="s">
        <v>116</v>
      </c>
      <c r="AD531" t="s">
        <v>193</v>
      </c>
      <c r="AF531">
        <v>2023</v>
      </c>
      <c r="AG531">
        <v>212</v>
      </c>
      <c r="AH531" t="str">
        <f t="shared" si="53"/>
        <v>1</v>
      </c>
      <c r="AI531" t="str">
        <f>"5230005528"</f>
        <v>5230005528</v>
      </c>
      <c r="AJ531" s="1">
        <v>44944</v>
      </c>
      <c r="AL531" s="2">
        <v>10466.83</v>
      </c>
      <c r="AM531" t="str">
        <f>"8868721986"</f>
        <v>8868721986</v>
      </c>
      <c r="AN531">
        <v>2023</v>
      </c>
      <c r="AO531">
        <v>228</v>
      </c>
      <c r="AP531" s="2">
        <v>10466.83</v>
      </c>
      <c r="AQ531">
        <v>0</v>
      </c>
      <c r="AR531" s="2">
        <v>17036.45</v>
      </c>
      <c r="AS531" t="s">
        <v>194</v>
      </c>
      <c r="AT531">
        <v>9515.2999999999993</v>
      </c>
      <c r="AU531">
        <v>951.53</v>
      </c>
      <c r="AV531">
        <v>2023</v>
      </c>
      <c r="AW531">
        <v>89</v>
      </c>
      <c r="AX531">
        <v>670</v>
      </c>
      <c r="AY531">
        <v>0</v>
      </c>
      <c r="AZ531" t="s">
        <v>855</v>
      </c>
      <c r="BA531">
        <v>10466.83</v>
      </c>
      <c r="BB531" s="1">
        <v>44978</v>
      </c>
    </row>
    <row r="532" spans="1:54" x14ac:dyDescent="0.25">
      <c r="A532">
        <v>2023</v>
      </c>
      <c r="B532">
        <v>213</v>
      </c>
      <c r="C532" s="1">
        <v>44978</v>
      </c>
      <c r="D532">
        <v>2023</v>
      </c>
      <c r="E532">
        <v>2023</v>
      </c>
      <c r="F532">
        <v>14</v>
      </c>
      <c r="H532" t="s">
        <v>852</v>
      </c>
      <c r="I532">
        <v>130</v>
      </c>
      <c r="J532">
        <v>0</v>
      </c>
      <c r="K532" t="s">
        <v>128</v>
      </c>
      <c r="R532" t="s">
        <v>190</v>
      </c>
      <c r="S532" t="str">
        <f t="shared" si="51"/>
        <v>31</v>
      </c>
      <c r="T532" t="s">
        <v>122</v>
      </c>
      <c r="W532" t="s">
        <v>850</v>
      </c>
      <c r="Y532">
        <v>3344</v>
      </c>
      <c r="Z532" t="s">
        <v>192</v>
      </c>
      <c r="AB532" t="str">
        <f t="shared" si="52"/>
        <v>02616630022</v>
      </c>
      <c r="AC532" t="s">
        <v>116</v>
      </c>
      <c r="AD532" t="s">
        <v>193</v>
      </c>
      <c r="AF532">
        <v>2023</v>
      </c>
      <c r="AG532">
        <v>213</v>
      </c>
      <c r="AH532" t="str">
        <f t="shared" si="53"/>
        <v>1</v>
      </c>
      <c r="AI532" t="str">
        <f>"5230005559"</f>
        <v>5230005559</v>
      </c>
      <c r="AJ532" s="1">
        <v>44944</v>
      </c>
      <c r="AL532" s="2">
        <v>15322.99</v>
      </c>
      <c r="AM532" t="str">
        <f>"8868730086"</f>
        <v>8868730086</v>
      </c>
      <c r="AN532">
        <v>2023</v>
      </c>
      <c r="AO532">
        <v>228</v>
      </c>
      <c r="AP532" s="2">
        <v>15322.99</v>
      </c>
      <c r="AQ532">
        <v>0</v>
      </c>
      <c r="AR532" s="2">
        <v>17036.45</v>
      </c>
      <c r="AS532" t="s">
        <v>194</v>
      </c>
      <c r="AT532">
        <v>13929.99</v>
      </c>
      <c r="AU532">
        <v>1393</v>
      </c>
      <c r="AV532">
        <v>2023</v>
      </c>
      <c r="AW532">
        <v>89</v>
      </c>
      <c r="AX532">
        <v>670</v>
      </c>
      <c r="AY532">
        <v>0</v>
      </c>
      <c r="AZ532" t="s">
        <v>855</v>
      </c>
      <c r="BA532">
        <v>15322.99</v>
      </c>
      <c r="BB532" s="1">
        <v>44978</v>
      </c>
    </row>
    <row r="533" spans="1:54" x14ac:dyDescent="0.25">
      <c r="A533">
        <v>2023</v>
      </c>
      <c r="B533">
        <v>213</v>
      </c>
      <c r="C533" s="1">
        <v>44978</v>
      </c>
      <c r="D533">
        <v>2023</v>
      </c>
      <c r="E533">
        <v>2023</v>
      </c>
      <c r="F533">
        <v>14</v>
      </c>
      <c r="H533" t="s">
        <v>852</v>
      </c>
      <c r="I533">
        <v>130</v>
      </c>
      <c r="J533">
        <v>0</v>
      </c>
      <c r="K533" t="s">
        <v>128</v>
      </c>
      <c r="R533" t="s">
        <v>190</v>
      </c>
      <c r="S533" t="str">
        <f t="shared" si="51"/>
        <v>31</v>
      </c>
      <c r="T533" t="s">
        <v>122</v>
      </c>
      <c r="W533" t="s">
        <v>850</v>
      </c>
      <c r="Y533">
        <v>3344</v>
      </c>
      <c r="Z533" t="s">
        <v>192</v>
      </c>
      <c r="AB533" t="str">
        <f t="shared" si="52"/>
        <v>02616630022</v>
      </c>
      <c r="AC533" t="s">
        <v>116</v>
      </c>
      <c r="AD533" t="s">
        <v>193</v>
      </c>
      <c r="AF533">
        <v>2023</v>
      </c>
      <c r="AG533">
        <v>214</v>
      </c>
      <c r="AH533" t="str">
        <f t="shared" si="53"/>
        <v>1</v>
      </c>
      <c r="AI533" t="str">
        <f>"5230005533"</f>
        <v>5230005533</v>
      </c>
      <c r="AJ533" s="1">
        <v>44944</v>
      </c>
      <c r="AL533">
        <v>9.5500000000000007</v>
      </c>
      <c r="AM533" t="str">
        <f>"8868716091"</f>
        <v>8868716091</v>
      </c>
      <c r="AN533">
        <v>2023</v>
      </c>
      <c r="AO533">
        <v>228</v>
      </c>
      <c r="AP533">
        <v>9.5500000000000007</v>
      </c>
      <c r="AQ533">
        <v>0</v>
      </c>
      <c r="AR533" s="2">
        <v>17036.45</v>
      </c>
      <c r="AS533" t="s">
        <v>194</v>
      </c>
      <c r="AT533">
        <v>8.68</v>
      </c>
      <c r="AU533">
        <v>0.87</v>
      </c>
      <c r="AV533">
        <v>2023</v>
      </c>
      <c r="AW533">
        <v>89</v>
      </c>
      <c r="AX533">
        <v>670</v>
      </c>
      <c r="AY533">
        <v>0</v>
      </c>
      <c r="AZ533" t="s">
        <v>855</v>
      </c>
      <c r="BA533">
        <v>9.5500000000000007</v>
      </c>
      <c r="BB533" s="1">
        <v>44978</v>
      </c>
    </row>
    <row r="534" spans="1:54" x14ac:dyDescent="0.25">
      <c r="A534">
        <v>2023</v>
      </c>
      <c r="B534">
        <v>213</v>
      </c>
      <c r="C534" s="1">
        <v>44978</v>
      </c>
      <c r="D534">
        <v>2023</v>
      </c>
      <c r="E534">
        <v>2023</v>
      </c>
      <c r="F534">
        <v>14</v>
      </c>
      <c r="H534" t="s">
        <v>852</v>
      </c>
      <c r="I534">
        <v>130</v>
      </c>
      <c r="J534">
        <v>0</v>
      </c>
      <c r="K534" t="s">
        <v>128</v>
      </c>
      <c r="R534" t="s">
        <v>190</v>
      </c>
      <c r="S534" t="str">
        <f t="shared" si="51"/>
        <v>31</v>
      </c>
      <c r="T534" t="s">
        <v>122</v>
      </c>
      <c r="W534" t="s">
        <v>850</v>
      </c>
      <c r="Y534">
        <v>3344</v>
      </c>
      <c r="Z534" t="s">
        <v>192</v>
      </c>
      <c r="AB534" t="str">
        <f t="shared" si="52"/>
        <v>02616630022</v>
      </c>
      <c r="AC534" t="s">
        <v>116</v>
      </c>
      <c r="AD534" t="s">
        <v>193</v>
      </c>
      <c r="AF534">
        <v>2023</v>
      </c>
      <c r="AG534">
        <v>216</v>
      </c>
      <c r="AH534" t="str">
        <f t="shared" si="53"/>
        <v>1</v>
      </c>
      <c r="AI534" t="str">
        <f>"5230005557"</f>
        <v>5230005557</v>
      </c>
      <c r="AJ534" s="1">
        <v>44944</v>
      </c>
      <c r="AL534" s="2">
        <v>18821.04</v>
      </c>
      <c r="AM534" t="str">
        <f>"8868724792"</f>
        <v>8868724792</v>
      </c>
      <c r="AN534">
        <v>2023</v>
      </c>
      <c r="AO534">
        <v>228</v>
      </c>
      <c r="AP534" s="2">
        <v>18821.04</v>
      </c>
      <c r="AQ534">
        <v>0</v>
      </c>
      <c r="AR534" s="2">
        <v>17036.45</v>
      </c>
      <c r="AS534" t="s">
        <v>194</v>
      </c>
      <c r="AT534">
        <v>17110.04</v>
      </c>
      <c r="AU534">
        <v>1711</v>
      </c>
      <c r="AV534">
        <v>2023</v>
      </c>
      <c r="AW534">
        <v>89</v>
      </c>
      <c r="AX534">
        <v>670</v>
      </c>
      <c r="AY534">
        <v>0</v>
      </c>
      <c r="AZ534" t="s">
        <v>855</v>
      </c>
      <c r="BA534">
        <v>18821.04</v>
      </c>
      <c r="BB534" s="1">
        <v>44978</v>
      </c>
    </row>
    <row r="535" spans="1:54" x14ac:dyDescent="0.25">
      <c r="A535">
        <v>2023</v>
      </c>
      <c r="B535">
        <v>213</v>
      </c>
      <c r="C535" s="1">
        <v>44978</v>
      </c>
      <c r="D535">
        <v>2023</v>
      </c>
      <c r="E535">
        <v>2023</v>
      </c>
      <c r="F535">
        <v>14</v>
      </c>
      <c r="H535" t="s">
        <v>852</v>
      </c>
      <c r="I535">
        <v>130</v>
      </c>
      <c r="J535">
        <v>0</v>
      </c>
      <c r="K535" t="s">
        <v>128</v>
      </c>
      <c r="R535" t="s">
        <v>190</v>
      </c>
      <c r="S535" t="str">
        <f t="shared" si="51"/>
        <v>31</v>
      </c>
      <c r="T535" t="s">
        <v>122</v>
      </c>
      <c r="W535" t="s">
        <v>850</v>
      </c>
      <c r="Y535">
        <v>3344</v>
      </c>
      <c r="Z535" t="s">
        <v>192</v>
      </c>
      <c r="AB535" t="str">
        <f t="shared" si="52"/>
        <v>02616630022</v>
      </c>
      <c r="AC535" t="s">
        <v>116</v>
      </c>
      <c r="AD535" t="s">
        <v>193</v>
      </c>
      <c r="AF535">
        <v>2023</v>
      </c>
      <c r="AG535">
        <v>219</v>
      </c>
      <c r="AH535" t="str">
        <f t="shared" si="53"/>
        <v>1</v>
      </c>
      <c r="AI535" t="str">
        <f>"5230005560"</f>
        <v>5230005560</v>
      </c>
      <c r="AJ535" s="1">
        <v>44944</v>
      </c>
      <c r="AL535">
        <v>512.27</v>
      </c>
      <c r="AM535" t="str">
        <f>"8868728191"</f>
        <v>8868728191</v>
      </c>
      <c r="AN535">
        <v>2023</v>
      </c>
      <c r="AO535">
        <v>228</v>
      </c>
      <c r="AP535">
        <v>512.27</v>
      </c>
      <c r="AQ535">
        <v>0</v>
      </c>
      <c r="AR535" s="2">
        <v>17036.45</v>
      </c>
      <c r="AS535" t="s">
        <v>194</v>
      </c>
      <c r="AT535">
        <v>465.7</v>
      </c>
      <c r="AU535">
        <v>46.57</v>
      </c>
      <c r="AV535">
        <v>2023</v>
      </c>
      <c r="AW535">
        <v>89</v>
      </c>
      <c r="AX535">
        <v>670</v>
      </c>
      <c r="AY535">
        <v>0</v>
      </c>
      <c r="AZ535" t="s">
        <v>855</v>
      </c>
      <c r="BA535">
        <v>512.27</v>
      </c>
      <c r="BB535" s="1">
        <v>44978</v>
      </c>
    </row>
    <row r="536" spans="1:54" x14ac:dyDescent="0.25">
      <c r="A536">
        <v>2023</v>
      </c>
      <c r="B536">
        <v>213</v>
      </c>
      <c r="C536" s="1">
        <v>44978</v>
      </c>
      <c r="D536">
        <v>2023</v>
      </c>
      <c r="E536">
        <v>2023</v>
      </c>
      <c r="F536">
        <v>14</v>
      </c>
      <c r="H536" t="s">
        <v>852</v>
      </c>
      <c r="I536">
        <v>130</v>
      </c>
      <c r="J536">
        <v>0</v>
      </c>
      <c r="K536" t="s">
        <v>128</v>
      </c>
      <c r="R536" t="s">
        <v>190</v>
      </c>
      <c r="S536" t="str">
        <f t="shared" si="51"/>
        <v>31</v>
      </c>
      <c r="T536" t="s">
        <v>122</v>
      </c>
      <c r="W536" t="s">
        <v>850</v>
      </c>
      <c r="Y536">
        <v>3344</v>
      </c>
      <c r="Z536" t="s">
        <v>192</v>
      </c>
      <c r="AB536" t="str">
        <f t="shared" si="52"/>
        <v>02616630022</v>
      </c>
      <c r="AC536" t="s">
        <v>116</v>
      </c>
      <c r="AD536" t="s">
        <v>193</v>
      </c>
      <c r="AF536">
        <v>2023</v>
      </c>
      <c r="AG536">
        <v>220</v>
      </c>
      <c r="AH536" t="str">
        <f t="shared" si="53"/>
        <v>1</v>
      </c>
      <c r="AI536" t="str">
        <f>"5230005580"</f>
        <v>5230005580</v>
      </c>
      <c r="AJ536" s="1">
        <v>44944</v>
      </c>
      <c r="AL536">
        <v>888.01</v>
      </c>
      <c r="AM536" t="str">
        <f>"8868726692"</f>
        <v>8868726692</v>
      </c>
      <c r="AN536">
        <v>2023</v>
      </c>
      <c r="AO536">
        <v>228</v>
      </c>
      <c r="AP536">
        <v>888.01</v>
      </c>
      <c r="AQ536">
        <v>0</v>
      </c>
      <c r="AR536" s="2">
        <v>17036.45</v>
      </c>
      <c r="AS536" t="s">
        <v>194</v>
      </c>
      <c r="AT536">
        <v>807.28</v>
      </c>
      <c r="AU536">
        <v>80.73</v>
      </c>
      <c r="AV536">
        <v>2023</v>
      </c>
      <c r="AW536">
        <v>89</v>
      </c>
      <c r="AX536">
        <v>670</v>
      </c>
      <c r="AY536">
        <v>0</v>
      </c>
      <c r="AZ536" t="s">
        <v>855</v>
      </c>
      <c r="BA536">
        <v>888.01</v>
      </c>
      <c r="BB536" s="1">
        <v>44978</v>
      </c>
    </row>
    <row r="537" spans="1:54" x14ac:dyDescent="0.25">
      <c r="A537">
        <v>2023</v>
      </c>
      <c r="B537">
        <v>213</v>
      </c>
      <c r="C537" s="1">
        <v>44978</v>
      </c>
      <c r="D537">
        <v>2023</v>
      </c>
      <c r="E537">
        <v>2023</v>
      </c>
      <c r="F537">
        <v>14</v>
      </c>
      <c r="H537" t="s">
        <v>852</v>
      </c>
      <c r="I537">
        <v>130</v>
      </c>
      <c r="J537">
        <v>0</v>
      </c>
      <c r="K537" t="s">
        <v>128</v>
      </c>
      <c r="R537" t="s">
        <v>190</v>
      </c>
      <c r="S537" t="str">
        <f t="shared" si="51"/>
        <v>31</v>
      </c>
      <c r="T537" t="s">
        <v>122</v>
      </c>
      <c r="W537" t="s">
        <v>850</v>
      </c>
      <c r="Y537">
        <v>3344</v>
      </c>
      <c r="Z537" t="s">
        <v>192</v>
      </c>
      <c r="AB537" t="str">
        <f t="shared" si="52"/>
        <v>02616630022</v>
      </c>
      <c r="AC537" t="s">
        <v>116</v>
      </c>
      <c r="AD537" t="s">
        <v>193</v>
      </c>
      <c r="AF537">
        <v>2023</v>
      </c>
      <c r="AG537">
        <v>221</v>
      </c>
      <c r="AH537" t="str">
        <f t="shared" si="53"/>
        <v>1</v>
      </c>
      <c r="AI537" t="str">
        <f>"5230005547"</f>
        <v>5230005547</v>
      </c>
      <c r="AJ537" s="1">
        <v>44944</v>
      </c>
      <c r="AL537" s="2">
        <v>2061.4</v>
      </c>
      <c r="AM537" t="str">
        <f>"8868726897"</f>
        <v>8868726897</v>
      </c>
      <c r="AN537">
        <v>2023</v>
      </c>
      <c r="AO537">
        <v>228</v>
      </c>
      <c r="AP537" s="2">
        <v>2061.4</v>
      </c>
      <c r="AQ537">
        <v>0</v>
      </c>
      <c r="AR537" s="2">
        <v>17036.45</v>
      </c>
      <c r="AS537" t="s">
        <v>177</v>
      </c>
      <c r="AT537">
        <v>1689.67</v>
      </c>
      <c r="AU537">
        <v>371.73</v>
      </c>
      <c r="AV537">
        <v>2023</v>
      </c>
      <c r="AW537">
        <v>89</v>
      </c>
      <c r="AX537">
        <v>670</v>
      </c>
      <c r="AY537">
        <v>0</v>
      </c>
      <c r="AZ537" t="s">
        <v>855</v>
      </c>
      <c r="BA537">
        <v>2061.4</v>
      </c>
      <c r="BB537" s="1">
        <v>44978</v>
      </c>
    </row>
    <row r="538" spans="1:54" x14ac:dyDescent="0.25">
      <c r="A538">
        <v>2023</v>
      </c>
      <c r="B538">
        <v>213</v>
      </c>
      <c r="C538" s="1">
        <v>44978</v>
      </c>
      <c r="D538">
        <v>2023</v>
      </c>
      <c r="E538">
        <v>2023</v>
      </c>
      <c r="F538">
        <v>14</v>
      </c>
      <c r="H538" t="s">
        <v>852</v>
      </c>
      <c r="I538">
        <v>130</v>
      </c>
      <c r="J538">
        <v>0</v>
      </c>
      <c r="K538" t="s">
        <v>128</v>
      </c>
      <c r="R538" t="s">
        <v>190</v>
      </c>
      <c r="S538" t="str">
        <f t="shared" si="51"/>
        <v>31</v>
      </c>
      <c r="T538" t="s">
        <v>122</v>
      </c>
      <c r="W538" t="s">
        <v>850</v>
      </c>
      <c r="Y538">
        <v>3344</v>
      </c>
      <c r="Z538" t="s">
        <v>192</v>
      </c>
      <c r="AB538" t="str">
        <f t="shared" si="52"/>
        <v>02616630022</v>
      </c>
      <c r="AC538" t="s">
        <v>116</v>
      </c>
      <c r="AD538" t="s">
        <v>193</v>
      </c>
      <c r="AF538">
        <v>2023</v>
      </c>
      <c r="AG538">
        <v>222</v>
      </c>
      <c r="AH538" t="str">
        <f t="shared" si="53"/>
        <v>1</v>
      </c>
      <c r="AI538" t="str">
        <f>"5230005649"</f>
        <v>5230005649</v>
      </c>
      <c r="AJ538" s="1">
        <v>44944</v>
      </c>
      <c r="AL538">
        <v>135.58000000000001</v>
      </c>
      <c r="AM538" t="str">
        <f>"8869332261"</f>
        <v>8869332261</v>
      </c>
      <c r="AN538">
        <v>2023</v>
      </c>
      <c r="AO538">
        <v>228</v>
      </c>
      <c r="AP538">
        <v>135.58000000000001</v>
      </c>
      <c r="AQ538">
        <v>0</v>
      </c>
      <c r="AR538" s="2">
        <v>17036.45</v>
      </c>
      <c r="AS538" t="s">
        <v>194</v>
      </c>
      <c r="AT538">
        <v>123.25</v>
      </c>
      <c r="AU538">
        <v>12.33</v>
      </c>
      <c r="AV538">
        <v>2023</v>
      </c>
      <c r="AW538">
        <v>89</v>
      </c>
      <c r="AX538">
        <v>670</v>
      </c>
      <c r="AY538">
        <v>0</v>
      </c>
      <c r="AZ538" t="s">
        <v>855</v>
      </c>
      <c r="BA538">
        <v>135.58000000000001</v>
      </c>
      <c r="BB538" s="1">
        <v>44978</v>
      </c>
    </row>
    <row r="539" spans="1:54" x14ac:dyDescent="0.25">
      <c r="A539">
        <v>2023</v>
      </c>
      <c r="B539">
        <v>213</v>
      </c>
      <c r="C539" s="1">
        <v>44978</v>
      </c>
      <c r="D539">
        <v>2023</v>
      </c>
      <c r="E539">
        <v>2023</v>
      </c>
      <c r="F539">
        <v>14</v>
      </c>
      <c r="H539" t="s">
        <v>852</v>
      </c>
      <c r="I539">
        <v>130</v>
      </c>
      <c r="J539">
        <v>0</v>
      </c>
      <c r="K539" t="s">
        <v>128</v>
      </c>
      <c r="R539" t="s">
        <v>190</v>
      </c>
      <c r="S539" t="str">
        <f t="shared" si="51"/>
        <v>31</v>
      </c>
      <c r="T539" t="s">
        <v>122</v>
      </c>
      <c r="W539" t="s">
        <v>850</v>
      </c>
      <c r="Y539">
        <v>3344</v>
      </c>
      <c r="Z539" t="s">
        <v>192</v>
      </c>
      <c r="AB539" t="str">
        <f t="shared" si="52"/>
        <v>02616630022</v>
      </c>
      <c r="AC539" t="s">
        <v>116</v>
      </c>
      <c r="AD539" t="s">
        <v>193</v>
      </c>
      <c r="AF539">
        <v>2023</v>
      </c>
      <c r="AG539">
        <v>224</v>
      </c>
      <c r="AH539" t="str">
        <f t="shared" si="53"/>
        <v>1</v>
      </c>
      <c r="AI539" t="str">
        <f>"5230005647"</f>
        <v>5230005647</v>
      </c>
      <c r="AJ539" s="1">
        <v>44944</v>
      </c>
      <c r="AL539">
        <v>97.65</v>
      </c>
      <c r="AM539" t="str">
        <f>"8869331267"</f>
        <v>8869331267</v>
      </c>
      <c r="AN539">
        <v>2023</v>
      </c>
      <c r="AO539">
        <v>228</v>
      </c>
      <c r="AP539">
        <v>97.65</v>
      </c>
      <c r="AQ539">
        <v>0</v>
      </c>
      <c r="AR539" s="2">
        <v>17036.45</v>
      </c>
      <c r="AS539" t="s">
        <v>194</v>
      </c>
      <c r="AT539">
        <v>88.77</v>
      </c>
      <c r="AU539">
        <v>8.8800000000000008</v>
      </c>
      <c r="AV539">
        <v>2023</v>
      </c>
      <c r="AW539">
        <v>89</v>
      </c>
      <c r="AX539">
        <v>670</v>
      </c>
      <c r="AY539">
        <v>0</v>
      </c>
      <c r="AZ539" t="s">
        <v>855</v>
      </c>
      <c r="BA539">
        <v>97.65</v>
      </c>
      <c r="BB539" s="1">
        <v>44978</v>
      </c>
    </row>
    <row r="540" spans="1:54" x14ac:dyDescent="0.25">
      <c r="A540">
        <v>2023</v>
      </c>
      <c r="B540">
        <v>213</v>
      </c>
      <c r="C540" s="1">
        <v>44978</v>
      </c>
      <c r="D540">
        <v>2023</v>
      </c>
      <c r="E540">
        <v>2023</v>
      </c>
      <c r="F540">
        <v>14</v>
      </c>
      <c r="H540" t="s">
        <v>852</v>
      </c>
      <c r="I540">
        <v>130</v>
      </c>
      <c r="J540">
        <v>0</v>
      </c>
      <c r="K540" t="s">
        <v>128</v>
      </c>
      <c r="R540" t="s">
        <v>190</v>
      </c>
      <c r="S540" t="str">
        <f t="shared" si="51"/>
        <v>31</v>
      </c>
      <c r="T540" t="s">
        <v>122</v>
      </c>
      <c r="W540" t="s">
        <v>850</v>
      </c>
      <c r="Y540">
        <v>3344</v>
      </c>
      <c r="Z540" t="s">
        <v>192</v>
      </c>
      <c r="AB540" t="str">
        <f t="shared" si="52"/>
        <v>02616630022</v>
      </c>
      <c r="AC540" t="s">
        <v>116</v>
      </c>
      <c r="AD540" t="s">
        <v>193</v>
      </c>
      <c r="AF540">
        <v>2023</v>
      </c>
      <c r="AG540">
        <v>225</v>
      </c>
      <c r="AH540" t="str">
        <f t="shared" si="53"/>
        <v>1</v>
      </c>
      <c r="AI540" t="str">
        <f>"5230005604"</f>
        <v>5230005604</v>
      </c>
      <c r="AJ540" s="1">
        <v>44944</v>
      </c>
      <c r="AL540">
        <v>182.77</v>
      </c>
      <c r="AM540" t="str">
        <f>"8869319366"</f>
        <v>8869319366</v>
      </c>
      <c r="AN540">
        <v>2023</v>
      </c>
      <c r="AO540">
        <v>228</v>
      </c>
      <c r="AP540">
        <v>182.77</v>
      </c>
      <c r="AQ540">
        <v>0</v>
      </c>
      <c r="AR540" s="2">
        <v>17036.45</v>
      </c>
      <c r="AS540" t="s">
        <v>194</v>
      </c>
      <c r="AT540">
        <v>166.15</v>
      </c>
      <c r="AU540">
        <v>16.62</v>
      </c>
      <c r="AV540">
        <v>2023</v>
      </c>
      <c r="AW540">
        <v>89</v>
      </c>
      <c r="AX540">
        <v>670</v>
      </c>
      <c r="AY540">
        <v>0</v>
      </c>
      <c r="AZ540" t="s">
        <v>855</v>
      </c>
      <c r="BA540">
        <v>182.77</v>
      </c>
      <c r="BB540" s="1">
        <v>44978</v>
      </c>
    </row>
    <row r="541" spans="1:54" x14ac:dyDescent="0.25">
      <c r="A541">
        <v>2023</v>
      </c>
      <c r="B541">
        <v>213</v>
      </c>
      <c r="C541" s="1">
        <v>44978</v>
      </c>
      <c r="D541">
        <v>2023</v>
      </c>
      <c r="E541">
        <v>2023</v>
      </c>
      <c r="F541">
        <v>14</v>
      </c>
      <c r="H541" t="s">
        <v>852</v>
      </c>
      <c r="I541">
        <v>130</v>
      </c>
      <c r="J541">
        <v>0</v>
      </c>
      <c r="K541" t="s">
        <v>128</v>
      </c>
      <c r="R541" t="s">
        <v>190</v>
      </c>
      <c r="S541" t="str">
        <f t="shared" ref="S541:S564" si="54">"31"</f>
        <v>31</v>
      </c>
      <c r="T541" t="s">
        <v>122</v>
      </c>
      <c r="W541" t="s">
        <v>850</v>
      </c>
      <c r="Y541">
        <v>3344</v>
      </c>
      <c r="Z541" t="s">
        <v>192</v>
      </c>
      <c r="AB541" t="str">
        <f t="shared" ref="AB541:AB564" si="55">"02616630022"</f>
        <v>02616630022</v>
      </c>
      <c r="AC541" t="s">
        <v>116</v>
      </c>
      <c r="AD541" t="s">
        <v>193</v>
      </c>
      <c r="AF541">
        <v>2023</v>
      </c>
      <c r="AG541">
        <v>226</v>
      </c>
      <c r="AH541" t="str">
        <f t="shared" si="53"/>
        <v>1</v>
      </c>
      <c r="AI541" t="str">
        <f>"5230005643"</f>
        <v>5230005643</v>
      </c>
      <c r="AJ541" s="1">
        <v>44944</v>
      </c>
      <c r="AL541">
        <v>406.79</v>
      </c>
      <c r="AM541" t="str">
        <f>"8869306368"</f>
        <v>8869306368</v>
      </c>
      <c r="AN541">
        <v>2023</v>
      </c>
      <c r="AO541">
        <v>228</v>
      </c>
      <c r="AP541">
        <v>406.79</v>
      </c>
      <c r="AQ541">
        <v>0</v>
      </c>
      <c r="AR541" s="2">
        <v>17036.45</v>
      </c>
      <c r="AS541" t="s">
        <v>194</v>
      </c>
      <c r="AT541">
        <v>369.81</v>
      </c>
      <c r="AU541">
        <v>36.979999999999997</v>
      </c>
      <c r="AV541">
        <v>2023</v>
      </c>
      <c r="AW541">
        <v>89</v>
      </c>
      <c r="AX541">
        <v>670</v>
      </c>
      <c r="AY541">
        <v>0</v>
      </c>
      <c r="AZ541" t="s">
        <v>855</v>
      </c>
      <c r="BA541">
        <v>406.79</v>
      </c>
      <c r="BB541" s="1">
        <v>44978</v>
      </c>
    </row>
    <row r="542" spans="1:54" x14ac:dyDescent="0.25">
      <c r="A542">
        <v>2023</v>
      </c>
      <c r="B542">
        <v>213</v>
      </c>
      <c r="C542" s="1">
        <v>44978</v>
      </c>
      <c r="D542">
        <v>2023</v>
      </c>
      <c r="E542">
        <v>2023</v>
      </c>
      <c r="F542">
        <v>14</v>
      </c>
      <c r="H542" t="s">
        <v>852</v>
      </c>
      <c r="I542">
        <v>130</v>
      </c>
      <c r="J542">
        <v>0</v>
      </c>
      <c r="K542" t="s">
        <v>128</v>
      </c>
      <c r="R542" t="s">
        <v>190</v>
      </c>
      <c r="S542" t="str">
        <f t="shared" si="54"/>
        <v>31</v>
      </c>
      <c r="T542" t="s">
        <v>122</v>
      </c>
      <c r="W542" t="s">
        <v>850</v>
      </c>
      <c r="Y542">
        <v>3344</v>
      </c>
      <c r="Z542" t="s">
        <v>192</v>
      </c>
      <c r="AB542" t="str">
        <f t="shared" si="55"/>
        <v>02616630022</v>
      </c>
      <c r="AC542" t="s">
        <v>116</v>
      </c>
      <c r="AD542" t="s">
        <v>193</v>
      </c>
      <c r="AF542">
        <v>2023</v>
      </c>
      <c r="AG542">
        <v>227</v>
      </c>
      <c r="AH542" t="str">
        <f t="shared" si="53"/>
        <v>1</v>
      </c>
      <c r="AI542" t="str">
        <f>"5230005630"</f>
        <v>5230005630</v>
      </c>
      <c r="AJ542" s="1">
        <v>44944</v>
      </c>
      <c r="AL542">
        <v>38.909999999999997</v>
      </c>
      <c r="AM542" t="str">
        <f>"8869315968"</f>
        <v>8869315968</v>
      </c>
      <c r="AN542">
        <v>2023</v>
      </c>
      <c r="AO542">
        <v>228</v>
      </c>
      <c r="AP542">
        <v>38.909999999999997</v>
      </c>
      <c r="AQ542">
        <v>0</v>
      </c>
      <c r="AR542" s="2">
        <v>17036.45</v>
      </c>
      <c r="AS542" t="s">
        <v>177</v>
      </c>
      <c r="AT542">
        <v>31.89</v>
      </c>
      <c r="AU542">
        <v>7.02</v>
      </c>
      <c r="AV542">
        <v>2023</v>
      </c>
      <c r="AW542">
        <v>89</v>
      </c>
      <c r="AX542">
        <v>670</v>
      </c>
      <c r="AY542">
        <v>0</v>
      </c>
      <c r="AZ542" t="s">
        <v>855</v>
      </c>
      <c r="BA542">
        <v>38.909999999999997</v>
      </c>
      <c r="BB542" s="1">
        <v>44978</v>
      </c>
    </row>
    <row r="543" spans="1:54" x14ac:dyDescent="0.25">
      <c r="A543">
        <v>2023</v>
      </c>
      <c r="B543">
        <v>213</v>
      </c>
      <c r="C543" s="1">
        <v>44978</v>
      </c>
      <c r="D543">
        <v>2023</v>
      </c>
      <c r="E543">
        <v>2023</v>
      </c>
      <c r="F543">
        <v>14</v>
      </c>
      <c r="H543" t="s">
        <v>852</v>
      </c>
      <c r="I543">
        <v>130</v>
      </c>
      <c r="J543">
        <v>0</v>
      </c>
      <c r="K543" t="s">
        <v>128</v>
      </c>
      <c r="R543" t="s">
        <v>190</v>
      </c>
      <c r="S543" t="str">
        <f t="shared" si="54"/>
        <v>31</v>
      </c>
      <c r="T543" t="s">
        <v>122</v>
      </c>
      <c r="W543" t="s">
        <v>850</v>
      </c>
      <c r="Y543">
        <v>3344</v>
      </c>
      <c r="Z543" t="s">
        <v>192</v>
      </c>
      <c r="AB543" t="str">
        <f t="shared" si="55"/>
        <v>02616630022</v>
      </c>
      <c r="AC543" t="s">
        <v>116</v>
      </c>
      <c r="AD543" t="s">
        <v>193</v>
      </c>
      <c r="AF543">
        <v>2023</v>
      </c>
      <c r="AG543">
        <v>228</v>
      </c>
      <c r="AH543" t="str">
        <f t="shared" si="53"/>
        <v>1</v>
      </c>
      <c r="AI543" t="str">
        <f>"5230005617"</f>
        <v>5230005617</v>
      </c>
      <c r="AJ543" s="1">
        <v>44944</v>
      </c>
      <c r="AL543">
        <v>954.49</v>
      </c>
      <c r="AM543" t="str">
        <f>"8869316667"</f>
        <v>8869316667</v>
      </c>
      <c r="AN543">
        <v>2023</v>
      </c>
      <c r="AO543">
        <v>228</v>
      </c>
      <c r="AP543">
        <v>954.49</v>
      </c>
      <c r="AQ543">
        <v>0</v>
      </c>
      <c r="AR543" s="2">
        <v>17036.45</v>
      </c>
      <c r="AS543" t="s">
        <v>194</v>
      </c>
      <c r="AT543">
        <v>867.72</v>
      </c>
      <c r="AU543">
        <v>86.77</v>
      </c>
      <c r="AV543">
        <v>2023</v>
      </c>
      <c r="AW543">
        <v>89</v>
      </c>
      <c r="AX543">
        <v>670</v>
      </c>
      <c r="AY543">
        <v>0</v>
      </c>
      <c r="AZ543" t="s">
        <v>855</v>
      </c>
      <c r="BA543">
        <v>954.49</v>
      </c>
      <c r="BB543" s="1">
        <v>44978</v>
      </c>
    </row>
    <row r="544" spans="1:54" x14ac:dyDescent="0.25">
      <c r="A544">
        <v>2023</v>
      </c>
      <c r="B544">
        <v>213</v>
      </c>
      <c r="C544" s="1">
        <v>44978</v>
      </c>
      <c r="D544">
        <v>2023</v>
      </c>
      <c r="E544">
        <v>2023</v>
      </c>
      <c r="F544">
        <v>14</v>
      </c>
      <c r="H544" t="s">
        <v>852</v>
      </c>
      <c r="I544">
        <v>130</v>
      </c>
      <c r="J544">
        <v>0</v>
      </c>
      <c r="K544" t="s">
        <v>128</v>
      </c>
      <c r="R544" t="s">
        <v>190</v>
      </c>
      <c r="S544" t="str">
        <f t="shared" si="54"/>
        <v>31</v>
      </c>
      <c r="T544" t="s">
        <v>122</v>
      </c>
      <c r="W544" t="s">
        <v>850</v>
      </c>
      <c r="Y544">
        <v>3344</v>
      </c>
      <c r="Z544" t="s">
        <v>192</v>
      </c>
      <c r="AB544" t="str">
        <f t="shared" si="55"/>
        <v>02616630022</v>
      </c>
      <c r="AC544" t="s">
        <v>116</v>
      </c>
      <c r="AD544" t="s">
        <v>193</v>
      </c>
      <c r="AF544">
        <v>2023</v>
      </c>
      <c r="AG544">
        <v>229</v>
      </c>
      <c r="AH544" t="str">
        <f t="shared" si="53"/>
        <v>1</v>
      </c>
      <c r="AI544" t="str">
        <f>"5230005652"</f>
        <v>5230005652</v>
      </c>
      <c r="AJ544" s="1">
        <v>44944</v>
      </c>
      <c r="AL544">
        <v>39.659999999999997</v>
      </c>
      <c r="AM544" t="str">
        <f>"8869318662"</f>
        <v>8869318662</v>
      </c>
      <c r="AN544">
        <v>2023</v>
      </c>
      <c r="AO544">
        <v>228</v>
      </c>
      <c r="AP544">
        <v>39.659999999999997</v>
      </c>
      <c r="AQ544">
        <v>0</v>
      </c>
      <c r="AR544" s="2">
        <v>17036.45</v>
      </c>
      <c r="AS544" t="s">
        <v>194</v>
      </c>
      <c r="AT544">
        <v>36.049999999999997</v>
      </c>
      <c r="AU544">
        <v>3.61</v>
      </c>
      <c r="AV544">
        <v>2023</v>
      </c>
      <c r="AW544">
        <v>89</v>
      </c>
      <c r="AX544">
        <v>670</v>
      </c>
      <c r="AY544">
        <v>0</v>
      </c>
      <c r="AZ544" t="s">
        <v>855</v>
      </c>
      <c r="BA544">
        <v>39.659999999999997</v>
      </c>
      <c r="BB544" s="1">
        <v>44978</v>
      </c>
    </row>
    <row r="545" spans="1:54" x14ac:dyDescent="0.25">
      <c r="A545">
        <v>2023</v>
      </c>
      <c r="B545">
        <v>213</v>
      </c>
      <c r="C545" s="1">
        <v>44978</v>
      </c>
      <c r="D545">
        <v>2023</v>
      </c>
      <c r="E545">
        <v>2023</v>
      </c>
      <c r="F545">
        <v>14</v>
      </c>
      <c r="H545" t="s">
        <v>852</v>
      </c>
      <c r="I545">
        <v>130</v>
      </c>
      <c r="J545">
        <v>0</v>
      </c>
      <c r="K545" t="s">
        <v>128</v>
      </c>
      <c r="R545" t="s">
        <v>190</v>
      </c>
      <c r="S545" t="str">
        <f t="shared" si="54"/>
        <v>31</v>
      </c>
      <c r="T545" t="s">
        <v>122</v>
      </c>
      <c r="W545" t="s">
        <v>850</v>
      </c>
      <c r="Y545">
        <v>3344</v>
      </c>
      <c r="Z545" t="s">
        <v>192</v>
      </c>
      <c r="AB545" t="str">
        <f t="shared" si="55"/>
        <v>02616630022</v>
      </c>
      <c r="AC545" t="s">
        <v>116</v>
      </c>
      <c r="AD545" t="s">
        <v>193</v>
      </c>
      <c r="AF545">
        <v>2023</v>
      </c>
      <c r="AG545">
        <v>230</v>
      </c>
      <c r="AH545" t="str">
        <f t="shared" si="53"/>
        <v>1</v>
      </c>
      <c r="AI545" t="str">
        <f>"5230005637"</f>
        <v>5230005637</v>
      </c>
      <c r="AJ545" s="1">
        <v>44944</v>
      </c>
      <c r="AL545">
        <v>782.52</v>
      </c>
      <c r="AM545" t="str">
        <f>"8869319862"</f>
        <v>8869319862</v>
      </c>
      <c r="AN545">
        <v>2023</v>
      </c>
      <c r="AO545">
        <v>228</v>
      </c>
      <c r="AP545">
        <v>782.52</v>
      </c>
      <c r="AQ545">
        <v>0</v>
      </c>
      <c r="AR545" s="2">
        <v>17036.45</v>
      </c>
      <c r="AS545" t="s">
        <v>194</v>
      </c>
      <c r="AT545">
        <v>711.38</v>
      </c>
      <c r="AU545">
        <v>71.14</v>
      </c>
      <c r="AV545">
        <v>2023</v>
      </c>
      <c r="AW545">
        <v>89</v>
      </c>
      <c r="AX545">
        <v>670</v>
      </c>
      <c r="AY545">
        <v>0</v>
      </c>
      <c r="AZ545" t="s">
        <v>855</v>
      </c>
      <c r="BA545">
        <v>782.52</v>
      </c>
      <c r="BB545" s="1">
        <v>44978</v>
      </c>
    </row>
    <row r="546" spans="1:54" x14ac:dyDescent="0.25">
      <c r="A546">
        <v>2023</v>
      </c>
      <c r="B546">
        <v>213</v>
      </c>
      <c r="C546" s="1">
        <v>44978</v>
      </c>
      <c r="D546">
        <v>2023</v>
      </c>
      <c r="E546">
        <v>2023</v>
      </c>
      <c r="F546">
        <v>14</v>
      </c>
      <c r="H546" t="s">
        <v>852</v>
      </c>
      <c r="I546">
        <v>130</v>
      </c>
      <c r="J546">
        <v>0</v>
      </c>
      <c r="K546" t="s">
        <v>128</v>
      </c>
      <c r="R546" t="s">
        <v>190</v>
      </c>
      <c r="S546" t="str">
        <f t="shared" si="54"/>
        <v>31</v>
      </c>
      <c r="T546" t="s">
        <v>122</v>
      </c>
      <c r="W546" t="s">
        <v>850</v>
      </c>
      <c r="Y546">
        <v>3344</v>
      </c>
      <c r="Z546" t="s">
        <v>192</v>
      </c>
      <c r="AB546" t="str">
        <f t="shared" si="55"/>
        <v>02616630022</v>
      </c>
      <c r="AC546" t="s">
        <v>116</v>
      </c>
      <c r="AD546" t="s">
        <v>193</v>
      </c>
      <c r="AF546">
        <v>2023</v>
      </c>
      <c r="AG546">
        <v>231</v>
      </c>
      <c r="AH546" t="str">
        <f t="shared" si="53"/>
        <v>1</v>
      </c>
      <c r="AI546" t="str">
        <f>"5230005513"</f>
        <v>5230005513</v>
      </c>
      <c r="AJ546" s="1">
        <v>44944</v>
      </c>
      <c r="AL546" s="2">
        <v>3522.86</v>
      </c>
      <c r="AM546" t="str">
        <f>"8869503772"</f>
        <v>8869503772</v>
      </c>
      <c r="AN546">
        <v>2023</v>
      </c>
      <c r="AO546">
        <v>228</v>
      </c>
      <c r="AP546" s="2">
        <v>3522.86</v>
      </c>
      <c r="AQ546">
        <v>0</v>
      </c>
      <c r="AR546" s="2">
        <v>17036.45</v>
      </c>
      <c r="AS546" t="s">
        <v>194</v>
      </c>
      <c r="AT546">
        <v>3202.6</v>
      </c>
      <c r="AU546">
        <v>320.26</v>
      </c>
      <c r="AV546">
        <v>2023</v>
      </c>
      <c r="AW546">
        <v>89</v>
      </c>
      <c r="AX546">
        <v>670</v>
      </c>
      <c r="AY546">
        <v>0</v>
      </c>
      <c r="AZ546" t="s">
        <v>855</v>
      </c>
      <c r="BA546">
        <v>3522.86</v>
      </c>
      <c r="BB546" s="1">
        <v>44978</v>
      </c>
    </row>
    <row r="547" spans="1:54" x14ac:dyDescent="0.25">
      <c r="A547">
        <v>2023</v>
      </c>
      <c r="B547">
        <v>213</v>
      </c>
      <c r="C547" s="1">
        <v>44978</v>
      </c>
      <c r="D547">
        <v>2023</v>
      </c>
      <c r="E547">
        <v>2023</v>
      </c>
      <c r="F547">
        <v>14</v>
      </c>
      <c r="H547" t="s">
        <v>852</v>
      </c>
      <c r="I547">
        <v>130</v>
      </c>
      <c r="J547">
        <v>0</v>
      </c>
      <c r="K547" t="s">
        <v>128</v>
      </c>
      <c r="R547" t="s">
        <v>190</v>
      </c>
      <c r="S547" t="str">
        <f t="shared" si="54"/>
        <v>31</v>
      </c>
      <c r="T547" t="s">
        <v>122</v>
      </c>
      <c r="W547" t="s">
        <v>850</v>
      </c>
      <c r="Y547">
        <v>3344</v>
      </c>
      <c r="Z547" t="s">
        <v>192</v>
      </c>
      <c r="AB547" t="str">
        <f t="shared" si="55"/>
        <v>02616630022</v>
      </c>
      <c r="AC547" t="s">
        <v>116</v>
      </c>
      <c r="AD547" t="s">
        <v>193</v>
      </c>
      <c r="AF547">
        <v>2023</v>
      </c>
      <c r="AG547">
        <v>232</v>
      </c>
      <c r="AH547" t="str">
        <f t="shared" si="53"/>
        <v>1</v>
      </c>
      <c r="AI547" t="str">
        <f>"5230005636"</f>
        <v>5230005636</v>
      </c>
      <c r="AJ547" s="1">
        <v>44944</v>
      </c>
      <c r="AL547" s="2">
        <v>1675.96</v>
      </c>
      <c r="AM547" t="str">
        <f>"8869306500"</f>
        <v>8869306500</v>
      </c>
      <c r="AN547">
        <v>2023</v>
      </c>
      <c r="AO547">
        <v>228</v>
      </c>
      <c r="AP547" s="2">
        <v>1675.96</v>
      </c>
      <c r="AQ547">
        <v>0</v>
      </c>
      <c r="AR547" s="2">
        <v>17036.45</v>
      </c>
      <c r="AS547" t="s">
        <v>177</v>
      </c>
      <c r="AT547">
        <v>1373.74</v>
      </c>
      <c r="AU547">
        <v>302.22000000000003</v>
      </c>
      <c r="AV547">
        <v>2023</v>
      </c>
      <c r="AW547">
        <v>89</v>
      </c>
      <c r="AX547">
        <v>670</v>
      </c>
      <c r="AY547">
        <v>0</v>
      </c>
      <c r="AZ547" t="s">
        <v>855</v>
      </c>
      <c r="BA547">
        <v>1675.96</v>
      </c>
      <c r="BB547" s="1">
        <v>44978</v>
      </c>
    </row>
    <row r="548" spans="1:54" x14ac:dyDescent="0.25">
      <c r="A548">
        <v>2023</v>
      </c>
      <c r="B548">
        <v>213</v>
      </c>
      <c r="C548" s="1">
        <v>44978</v>
      </c>
      <c r="D548">
        <v>2023</v>
      </c>
      <c r="E548">
        <v>2023</v>
      </c>
      <c r="F548">
        <v>14</v>
      </c>
      <c r="H548" t="s">
        <v>852</v>
      </c>
      <c r="I548">
        <v>130</v>
      </c>
      <c r="J548">
        <v>0</v>
      </c>
      <c r="K548" t="s">
        <v>128</v>
      </c>
      <c r="R548" t="s">
        <v>190</v>
      </c>
      <c r="S548" t="str">
        <f t="shared" si="54"/>
        <v>31</v>
      </c>
      <c r="T548" t="s">
        <v>122</v>
      </c>
      <c r="W548" t="s">
        <v>850</v>
      </c>
      <c r="Y548">
        <v>3344</v>
      </c>
      <c r="Z548" t="s">
        <v>192</v>
      </c>
      <c r="AB548" t="str">
        <f t="shared" si="55"/>
        <v>02616630022</v>
      </c>
      <c r="AC548" t="s">
        <v>116</v>
      </c>
      <c r="AD548" t="s">
        <v>193</v>
      </c>
      <c r="AF548">
        <v>2023</v>
      </c>
      <c r="AG548">
        <v>233</v>
      </c>
      <c r="AH548" t="str">
        <f t="shared" si="53"/>
        <v>1</v>
      </c>
      <c r="AI548" t="str">
        <f>"5230005633"</f>
        <v>5230005633</v>
      </c>
      <c r="AJ548" s="1">
        <v>44944</v>
      </c>
      <c r="AL548">
        <v>9.5500000000000007</v>
      </c>
      <c r="AM548" t="str">
        <f>"8869317266"</f>
        <v>8869317266</v>
      </c>
      <c r="AN548">
        <v>2023</v>
      </c>
      <c r="AO548">
        <v>228</v>
      </c>
      <c r="AP548">
        <v>9.5500000000000007</v>
      </c>
      <c r="AQ548">
        <v>0</v>
      </c>
      <c r="AR548" s="2">
        <v>17036.45</v>
      </c>
      <c r="AS548" t="s">
        <v>194</v>
      </c>
      <c r="AT548">
        <v>8.68</v>
      </c>
      <c r="AU548">
        <v>0.87</v>
      </c>
      <c r="AV548">
        <v>2023</v>
      </c>
      <c r="AW548">
        <v>89</v>
      </c>
      <c r="AX548">
        <v>670</v>
      </c>
      <c r="AY548">
        <v>0</v>
      </c>
      <c r="AZ548" t="s">
        <v>855</v>
      </c>
      <c r="BA548">
        <v>9.5500000000000007</v>
      </c>
      <c r="BB548" s="1">
        <v>44978</v>
      </c>
    </row>
    <row r="549" spans="1:54" x14ac:dyDescent="0.25">
      <c r="A549">
        <v>2023</v>
      </c>
      <c r="B549">
        <v>213</v>
      </c>
      <c r="C549" s="1">
        <v>44978</v>
      </c>
      <c r="D549">
        <v>2023</v>
      </c>
      <c r="E549">
        <v>2023</v>
      </c>
      <c r="F549">
        <v>14</v>
      </c>
      <c r="H549" t="s">
        <v>852</v>
      </c>
      <c r="I549">
        <v>130</v>
      </c>
      <c r="J549">
        <v>0</v>
      </c>
      <c r="K549" t="s">
        <v>128</v>
      </c>
      <c r="R549" t="s">
        <v>190</v>
      </c>
      <c r="S549" t="str">
        <f t="shared" si="54"/>
        <v>31</v>
      </c>
      <c r="T549" t="s">
        <v>122</v>
      </c>
      <c r="W549" t="s">
        <v>850</v>
      </c>
      <c r="Y549">
        <v>3344</v>
      </c>
      <c r="Z549" t="s">
        <v>192</v>
      </c>
      <c r="AB549" t="str">
        <f t="shared" si="55"/>
        <v>02616630022</v>
      </c>
      <c r="AC549" t="s">
        <v>116</v>
      </c>
      <c r="AD549" t="s">
        <v>193</v>
      </c>
      <c r="AF549">
        <v>2023</v>
      </c>
      <c r="AG549">
        <v>234</v>
      </c>
      <c r="AH549" t="str">
        <f t="shared" si="53"/>
        <v>1</v>
      </c>
      <c r="AI549" t="str">
        <f>"5230005612"</f>
        <v>5230005612</v>
      </c>
      <c r="AJ549" s="1">
        <v>44944</v>
      </c>
      <c r="AL549">
        <v>374.22</v>
      </c>
      <c r="AM549" t="str">
        <f>"8869228676"</f>
        <v>8869228676</v>
      </c>
      <c r="AN549">
        <v>2023</v>
      </c>
      <c r="AO549">
        <v>228</v>
      </c>
      <c r="AP549">
        <v>374.22</v>
      </c>
      <c r="AQ549">
        <v>0</v>
      </c>
      <c r="AR549" s="2">
        <v>17036.45</v>
      </c>
      <c r="AS549" t="s">
        <v>194</v>
      </c>
      <c r="AT549">
        <v>340.2</v>
      </c>
      <c r="AU549">
        <v>34.020000000000003</v>
      </c>
      <c r="AV549">
        <v>2023</v>
      </c>
      <c r="AW549">
        <v>89</v>
      </c>
      <c r="AX549">
        <v>670</v>
      </c>
      <c r="AY549">
        <v>0</v>
      </c>
      <c r="AZ549" t="s">
        <v>855</v>
      </c>
      <c r="BA549">
        <v>374.22</v>
      </c>
      <c r="BB549" s="1">
        <v>44978</v>
      </c>
    </row>
    <row r="550" spans="1:54" x14ac:dyDescent="0.25">
      <c r="A550">
        <v>2023</v>
      </c>
      <c r="B550">
        <v>213</v>
      </c>
      <c r="C550" s="1">
        <v>44978</v>
      </c>
      <c r="D550">
        <v>2023</v>
      </c>
      <c r="E550">
        <v>2023</v>
      </c>
      <c r="F550">
        <v>14</v>
      </c>
      <c r="H550" t="s">
        <v>852</v>
      </c>
      <c r="I550">
        <v>130</v>
      </c>
      <c r="J550">
        <v>0</v>
      </c>
      <c r="K550" t="s">
        <v>128</v>
      </c>
      <c r="R550" t="s">
        <v>190</v>
      </c>
      <c r="S550" t="str">
        <f t="shared" si="54"/>
        <v>31</v>
      </c>
      <c r="T550" t="s">
        <v>122</v>
      </c>
      <c r="W550" t="s">
        <v>850</v>
      </c>
      <c r="Y550">
        <v>3344</v>
      </c>
      <c r="Z550" t="s">
        <v>192</v>
      </c>
      <c r="AB550" t="str">
        <f t="shared" si="55"/>
        <v>02616630022</v>
      </c>
      <c r="AC550" t="s">
        <v>116</v>
      </c>
      <c r="AD550" t="s">
        <v>193</v>
      </c>
      <c r="AF550">
        <v>2023</v>
      </c>
      <c r="AG550">
        <v>236</v>
      </c>
      <c r="AH550" t="str">
        <f t="shared" si="53"/>
        <v>1</v>
      </c>
      <c r="AI550" t="str">
        <f>"5230005591"</f>
        <v>5230005591</v>
      </c>
      <c r="AJ550" s="1">
        <v>44944</v>
      </c>
      <c r="AL550">
        <v>5.54</v>
      </c>
      <c r="AM550" t="str">
        <f>"8869276970"</f>
        <v>8869276970</v>
      </c>
      <c r="AN550">
        <v>2023</v>
      </c>
      <c r="AO550">
        <v>228</v>
      </c>
      <c r="AP550">
        <v>5.54</v>
      </c>
      <c r="AQ550">
        <v>0</v>
      </c>
      <c r="AR550" s="2">
        <v>17036.45</v>
      </c>
      <c r="AS550" t="s">
        <v>194</v>
      </c>
      <c r="AT550">
        <v>5.04</v>
      </c>
      <c r="AU550">
        <v>0.5</v>
      </c>
      <c r="AV550">
        <v>2023</v>
      </c>
      <c r="AW550">
        <v>89</v>
      </c>
      <c r="AX550">
        <v>670</v>
      </c>
      <c r="AY550">
        <v>0</v>
      </c>
      <c r="AZ550" t="s">
        <v>855</v>
      </c>
      <c r="BA550">
        <v>5.54</v>
      </c>
      <c r="BB550" s="1">
        <v>44978</v>
      </c>
    </row>
    <row r="551" spans="1:54" x14ac:dyDescent="0.25">
      <c r="A551">
        <v>2023</v>
      </c>
      <c r="B551">
        <v>213</v>
      </c>
      <c r="C551" s="1">
        <v>44978</v>
      </c>
      <c r="D551">
        <v>2023</v>
      </c>
      <c r="E551">
        <v>2023</v>
      </c>
      <c r="F551">
        <v>14</v>
      </c>
      <c r="H551" t="s">
        <v>852</v>
      </c>
      <c r="I551">
        <v>130</v>
      </c>
      <c r="J551">
        <v>0</v>
      </c>
      <c r="K551" t="s">
        <v>128</v>
      </c>
      <c r="R551" t="s">
        <v>190</v>
      </c>
      <c r="S551" t="str">
        <f t="shared" si="54"/>
        <v>31</v>
      </c>
      <c r="T551" t="s">
        <v>122</v>
      </c>
      <c r="W551" t="s">
        <v>850</v>
      </c>
      <c r="Y551">
        <v>3344</v>
      </c>
      <c r="Z551" t="s">
        <v>192</v>
      </c>
      <c r="AB551" t="str">
        <f t="shared" si="55"/>
        <v>02616630022</v>
      </c>
      <c r="AC551" t="s">
        <v>116</v>
      </c>
      <c r="AD551" t="s">
        <v>193</v>
      </c>
      <c r="AF551">
        <v>2023</v>
      </c>
      <c r="AG551">
        <v>237</v>
      </c>
      <c r="AH551" t="str">
        <f t="shared" si="53"/>
        <v>1</v>
      </c>
      <c r="AI551" t="str">
        <f>"5230005641"</f>
        <v>5230005641</v>
      </c>
      <c r="AJ551" s="1">
        <v>44944</v>
      </c>
      <c r="AL551">
        <v>814.11</v>
      </c>
      <c r="AM551" t="str">
        <f>"8869331074"</f>
        <v>8869331074</v>
      </c>
      <c r="AN551">
        <v>2023</v>
      </c>
      <c r="AO551">
        <v>228</v>
      </c>
      <c r="AP551">
        <v>814.11</v>
      </c>
      <c r="AQ551">
        <v>0</v>
      </c>
      <c r="AR551" s="2">
        <v>17036.45</v>
      </c>
      <c r="AS551" t="s">
        <v>194</v>
      </c>
      <c r="AT551">
        <v>740.1</v>
      </c>
      <c r="AU551">
        <v>74.010000000000005</v>
      </c>
      <c r="AV551">
        <v>2023</v>
      </c>
      <c r="AW551">
        <v>89</v>
      </c>
      <c r="AX551">
        <v>670</v>
      </c>
      <c r="AY551">
        <v>0</v>
      </c>
      <c r="AZ551" t="s">
        <v>855</v>
      </c>
      <c r="BA551">
        <v>814.11</v>
      </c>
      <c r="BB551" s="1">
        <v>44978</v>
      </c>
    </row>
    <row r="552" spans="1:54" x14ac:dyDescent="0.25">
      <c r="A552">
        <v>2023</v>
      </c>
      <c r="B552">
        <v>213</v>
      </c>
      <c r="C552" s="1">
        <v>44978</v>
      </c>
      <c r="D552">
        <v>2023</v>
      </c>
      <c r="E552">
        <v>2023</v>
      </c>
      <c r="F552">
        <v>14</v>
      </c>
      <c r="H552" t="s">
        <v>852</v>
      </c>
      <c r="I552">
        <v>130</v>
      </c>
      <c r="J552">
        <v>0</v>
      </c>
      <c r="K552" t="s">
        <v>128</v>
      </c>
      <c r="R552" t="s">
        <v>190</v>
      </c>
      <c r="S552" t="str">
        <f t="shared" si="54"/>
        <v>31</v>
      </c>
      <c r="T552" t="s">
        <v>122</v>
      </c>
      <c r="W552" t="s">
        <v>850</v>
      </c>
      <c r="Y552">
        <v>3344</v>
      </c>
      <c r="Z552" t="s">
        <v>192</v>
      </c>
      <c r="AB552" t="str">
        <f t="shared" si="55"/>
        <v>02616630022</v>
      </c>
      <c r="AC552" t="s">
        <v>116</v>
      </c>
      <c r="AD552" t="s">
        <v>193</v>
      </c>
      <c r="AF552">
        <v>2023</v>
      </c>
      <c r="AG552">
        <v>238</v>
      </c>
      <c r="AH552" t="str">
        <f t="shared" si="53"/>
        <v>1</v>
      </c>
      <c r="AI552" t="str">
        <f>"5230005656"</f>
        <v>5230005656</v>
      </c>
      <c r="AJ552" s="1">
        <v>44944</v>
      </c>
      <c r="AL552">
        <v>29.52</v>
      </c>
      <c r="AM552" t="str">
        <f>"8869332376"</f>
        <v>8869332376</v>
      </c>
      <c r="AN552">
        <v>2023</v>
      </c>
      <c r="AO552">
        <v>228</v>
      </c>
      <c r="AP552">
        <v>29.52</v>
      </c>
      <c r="AQ552">
        <v>0</v>
      </c>
      <c r="AR552" s="2">
        <v>17036.45</v>
      </c>
      <c r="AS552" t="s">
        <v>194</v>
      </c>
      <c r="AT552">
        <v>26.84</v>
      </c>
      <c r="AU552">
        <v>2.68</v>
      </c>
      <c r="AV552">
        <v>2023</v>
      </c>
      <c r="AW552">
        <v>89</v>
      </c>
      <c r="AX552">
        <v>670</v>
      </c>
      <c r="AY552">
        <v>0</v>
      </c>
      <c r="AZ552" t="s">
        <v>855</v>
      </c>
      <c r="BA552">
        <v>29.52</v>
      </c>
      <c r="BB552" s="1">
        <v>44978</v>
      </c>
    </row>
    <row r="553" spans="1:54" x14ac:dyDescent="0.25">
      <c r="A553">
        <v>2023</v>
      </c>
      <c r="B553">
        <v>213</v>
      </c>
      <c r="C553" s="1">
        <v>44978</v>
      </c>
      <c r="D553">
        <v>2023</v>
      </c>
      <c r="E553">
        <v>2023</v>
      </c>
      <c r="F553">
        <v>14</v>
      </c>
      <c r="H553" t="s">
        <v>852</v>
      </c>
      <c r="I553">
        <v>130</v>
      </c>
      <c r="J553">
        <v>0</v>
      </c>
      <c r="K553" t="s">
        <v>128</v>
      </c>
      <c r="R553" t="s">
        <v>190</v>
      </c>
      <c r="S553" t="str">
        <f t="shared" si="54"/>
        <v>31</v>
      </c>
      <c r="T553" t="s">
        <v>122</v>
      </c>
      <c r="W553" t="s">
        <v>850</v>
      </c>
      <c r="Y553">
        <v>3344</v>
      </c>
      <c r="Z553" t="s">
        <v>192</v>
      </c>
      <c r="AB553" t="str">
        <f t="shared" si="55"/>
        <v>02616630022</v>
      </c>
      <c r="AC553" t="s">
        <v>116</v>
      </c>
      <c r="AD553" t="s">
        <v>193</v>
      </c>
      <c r="AF553">
        <v>2023</v>
      </c>
      <c r="AG553">
        <v>240</v>
      </c>
      <c r="AH553" t="str">
        <f t="shared" si="53"/>
        <v>1</v>
      </c>
      <c r="AI553" t="str">
        <f>"5230005644"</f>
        <v>5230005644</v>
      </c>
      <c r="AJ553" s="1">
        <v>44944</v>
      </c>
      <c r="AL553">
        <v>317.58</v>
      </c>
      <c r="AM553" t="str">
        <f>"8869248072"</f>
        <v>8869248072</v>
      </c>
      <c r="AN553">
        <v>2023</v>
      </c>
      <c r="AO553">
        <v>228</v>
      </c>
      <c r="AP553">
        <v>317.58</v>
      </c>
      <c r="AQ553">
        <v>0</v>
      </c>
      <c r="AR553" s="2">
        <v>17036.45</v>
      </c>
      <c r="AS553" t="s">
        <v>194</v>
      </c>
      <c r="AT553">
        <v>288.70999999999998</v>
      </c>
      <c r="AU553">
        <v>28.87</v>
      </c>
      <c r="AV553">
        <v>2023</v>
      </c>
      <c r="AW553">
        <v>89</v>
      </c>
      <c r="AX553">
        <v>670</v>
      </c>
      <c r="AY553">
        <v>0</v>
      </c>
      <c r="AZ553" t="s">
        <v>855</v>
      </c>
      <c r="BA553">
        <v>317.58</v>
      </c>
      <c r="BB553" s="1">
        <v>44978</v>
      </c>
    </row>
    <row r="554" spans="1:54" x14ac:dyDescent="0.25">
      <c r="A554">
        <v>2023</v>
      </c>
      <c r="B554">
        <v>213</v>
      </c>
      <c r="C554" s="1">
        <v>44978</v>
      </c>
      <c r="D554">
        <v>2023</v>
      </c>
      <c r="E554">
        <v>2023</v>
      </c>
      <c r="F554">
        <v>14</v>
      </c>
      <c r="H554" t="s">
        <v>852</v>
      </c>
      <c r="I554">
        <v>130</v>
      </c>
      <c r="J554">
        <v>0</v>
      </c>
      <c r="K554" t="s">
        <v>128</v>
      </c>
      <c r="R554" t="s">
        <v>190</v>
      </c>
      <c r="S554" t="str">
        <f t="shared" si="54"/>
        <v>31</v>
      </c>
      <c r="T554" t="s">
        <v>122</v>
      </c>
      <c r="W554" t="s">
        <v>850</v>
      </c>
      <c r="Y554">
        <v>3344</v>
      </c>
      <c r="Z554" t="s">
        <v>192</v>
      </c>
      <c r="AB554" t="str">
        <f t="shared" si="55"/>
        <v>02616630022</v>
      </c>
      <c r="AC554" t="s">
        <v>116</v>
      </c>
      <c r="AD554" t="s">
        <v>193</v>
      </c>
      <c r="AF554">
        <v>2023</v>
      </c>
      <c r="AG554">
        <v>242</v>
      </c>
      <c r="AH554" t="str">
        <f t="shared" si="53"/>
        <v>1</v>
      </c>
      <c r="AI554" t="str">
        <f>"5230005631"</f>
        <v>5230005631</v>
      </c>
      <c r="AJ554" s="1">
        <v>44944</v>
      </c>
      <c r="AL554">
        <v>12.25</v>
      </c>
      <c r="AM554" t="str">
        <f>"8869307676"</f>
        <v>8869307676</v>
      </c>
      <c r="AN554">
        <v>2023</v>
      </c>
      <c r="AO554">
        <v>228</v>
      </c>
      <c r="AP554">
        <v>12.25</v>
      </c>
      <c r="AQ554">
        <v>0</v>
      </c>
      <c r="AR554" s="2">
        <v>17036.45</v>
      </c>
      <c r="AS554" t="s">
        <v>194</v>
      </c>
      <c r="AT554">
        <v>11.14</v>
      </c>
      <c r="AU554">
        <v>1.1100000000000001</v>
      </c>
      <c r="AV554">
        <v>2023</v>
      </c>
      <c r="AW554">
        <v>89</v>
      </c>
      <c r="AX554">
        <v>670</v>
      </c>
      <c r="AY554">
        <v>0</v>
      </c>
      <c r="AZ554" t="s">
        <v>855</v>
      </c>
      <c r="BA554">
        <v>12.25</v>
      </c>
      <c r="BB554" s="1">
        <v>44978</v>
      </c>
    </row>
    <row r="555" spans="1:54" x14ac:dyDescent="0.25">
      <c r="A555">
        <v>2023</v>
      </c>
      <c r="B555">
        <v>213</v>
      </c>
      <c r="C555" s="1">
        <v>44978</v>
      </c>
      <c r="D555">
        <v>2023</v>
      </c>
      <c r="E555">
        <v>2023</v>
      </c>
      <c r="F555">
        <v>14</v>
      </c>
      <c r="H555" t="s">
        <v>852</v>
      </c>
      <c r="I555">
        <v>130</v>
      </c>
      <c r="J555">
        <v>0</v>
      </c>
      <c r="K555" t="s">
        <v>128</v>
      </c>
      <c r="R555" t="s">
        <v>190</v>
      </c>
      <c r="S555" t="str">
        <f t="shared" si="54"/>
        <v>31</v>
      </c>
      <c r="T555" t="s">
        <v>122</v>
      </c>
      <c r="W555" t="s">
        <v>850</v>
      </c>
      <c r="Y555">
        <v>3344</v>
      </c>
      <c r="Z555" t="s">
        <v>192</v>
      </c>
      <c r="AB555" t="str">
        <f t="shared" si="55"/>
        <v>02616630022</v>
      </c>
      <c r="AC555" t="s">
        <v>116</v>
      </c>
      <c r="AD555" t="s">
        <v>193</v>
      </c>
      <c r="AF555">
        <v>2023</v>
      </c>
      <c r="AG555">
        <v>243</v>
      </c>
      <c r="AH555" t="str">
        <f t="shared" si="53"/>
        <v>1</v>
      </c>
      <c r="AI555" t="str">
        <f>"5230005607"</f>
        <v>5230005607</v>
      </c>
      <c r="AJ555" s="1">
        <v>44944</v>
      </c>
      <c r="AL555">
        <v>43.16</v>
      </c>
      <c r="AM555" t="str">
        <f>"8869351077"</f>
        <v>8869351077</v>
      </c>
      <c r="AN555">
        <v>2023</v>
      </c>
      <c r="AO555">
        <v>228</v>
      </c>
      <c r="AP555">
        <v>43.16</v>
      </c>
      <c r="AQ555">
        <v>0</v>
      </c>
      <c r="AR555" s="2">
        <v>17036.45</v>
      </c>
      <c r="AS555" t="s">
        <v>194</v>
      </c>
      <c r="AT555">
        <v>39.24</v>
      </c>
      <c r="AU555">
        <v>3.92</v>
      </c>
      <c r="AV555">
        <v>2023</v>
      </c>
      <c r="AW555">
        <v>89</v>
      </c>
      <c r="AX555">
        <v>670</v>
      </c>
      <c r="AY555">
        <v>0</v>
      </c>
      <c r="AZ555" t="s">
        <v>855</v>
      </c>
      <c r="BA555">
        <v>43.16</v>
      </c>
      <c r="BB555" s="1">
        <v>44978</v>
      </c>
    </row>
    <row r="556" spans="1:54" x14ac:dyDescent="0.25">
      <c r="A556">
        <v>2023</v>
      </c>
      <c r="B556">
        <v>213</v>
      </c>
      <c r="C556" s="1">
        <v>44978</v>
      </c>
      <c r="D556">
        <v>2023</v>
      </c>
      <c r="E556">
        <v>2023</v>
      </c>
      <c r="F556">
        <v>14</v>
      </c>
      <c r="H556" t="s">
        <v>852</v>
      </c>
      <c r="I556">
        <v>130</v>
      </c>
      <c r="J556">
        <v>0</v>
      </c>
      <c r="K556" t="s">
        <v>128</v>
      </c>
      <c r="R556" t="s">
        <v>190</v>
      </c>
      <c r="S556" t="str">
        <f t="shared" si="54"/>
        <v>31</v>
      </c>
      <c r="T556" t="s">
        <v>122</v>
      </c>
      <c r="W556" t="s">
        <v>850</v>
      </c>
      <c r="Y556">
        <v>3344</v>
      </c>
      <c r="Z556" t="s">
        <v>192</v>
      </c>
      <c r="AB556" t="str">
        <f t="shared" si="55"/>
        <v>02616630022</v>
      </c>
      <c r="AC556" t="s">
        <v>116</v>
      </c>
      <c r="AD556" t="s">
        <v>193</v>
      </c>
      <c r="AF556">
        <v>2023</v>
      </c>
      <c r="AG556">
        <v>244</v>
      </c>
      <c r="AH556" t="str">
        <f t="shared" si="53"/>
        <v>1</v>
      </c>
      <c r="AI556" t="str">
        <f>"5230005609"</f>
        <v>5230005609</v>
      </c>
      <c r="AJ556" s="1">
        <v>44944</v>
      </c>
      <c r="AL556" s="2">
        <v>1802.74</v>
      </c>
      <c r="AM556" t="str">
        <f>"8869351980"</f>
        <v>8869351980</v>
      </c>
      <c r="AN556">
        <v>2023</v>
      </c>
      <c r="AO556">
        <v>228</v>
      </c>
      <c r="AP556" s="2">
        <v>1802.74</v>
      </c>
      <c r="AQ556">
        <v>0</v>
      </c>
      <c r="AR556" s="2">
        <v>17036.45</v>
      </c>
      <c r="AS556" t="s">
        <v>194</v>
      </c>
      <c r="AT556">
        <v>1638.85</v>
      </c>
      <c r="AU556">
        <v>163.89</v>
      </c>
      <c r="AV556">
        <v>2023</v>
      </c>
      <c r="AW556">
        <v>89</v>
      </c>
      <c r="AX556">
        <v>670</v>
      </c>
      <c r="AY556">
        <v>0</v>
      </c>
      <c r="AZ556" t="s">
        <v>855</v>
      </c>
      <c r="BA556">
        <v>1802.74</v>
      </c>
      <c r="BB556" s="1">
        <v>44978</v>
      </c>
    </row>
    <row r="557" spans="1:54" x14ac:dyDescent="0.25">
      <c r="A557">
        <v>2023</v>
      </c>
      <c r="B557">
        <v>213</v>
      </c>
      <c r="C557" s="1">
        <v>44978</v>
      </c>
      <c r="D557">
        <v>2023</v>
      </c>
      <c r="E557">
        <v>2023</v>
      </c>
      <c r="F557">
        <v>14</v>
      </c>
      <c r="H557" t="s">
        <v>852</v>
      </c>
      <c r="I557">
        <v>130</v>
      </c>
      <c r="J557">
        <v>0</v>
      </c>
      <c r="K557" t="s">
        <v>128</v>
      </c>
      <c r="R557" t="s">
        <v>190</v>
      </c>
      <c r="S557" t="str">
        <f t="shared" si="54"/>
        <v>31</v>
      </c>
      <c r="T557" t="s">
        <v>122</v>
      </c>
      <c r="W557" t="s">
        <v>850</v>
      </c>
      <c r="Y557">
        <v>3344</v>
      </c>
      <c r="Z557" t="s">
        <v>192</v>
      </c>
      <c r="AB557" t="str">
        <f t="shared" si="55"/>
        <v>02616630022</v>
      </c>
      <c r="AC557" t="s">
        <v>116</v>
      </c>
      <c r="AD557" t="s">
        <v>193</v>
      </c>
      <c r="AF557">
        <v>2023</v>
      </c>
      <c r="AG557">
        <v>248</v>
      </c>
      <c r="AH557" t="str">
        <f t="shared" si="53"/>
        <v>1</v>
      </c>
      <c r="AI557" t="str">
        <f>"5230005650"</f>
        <v>5230005650</v>
      </c>
      <c r="AJ557" s="1">
        <v>44944</v>
      </c>
      <c r="AL557">
        <v>53.57</v>
      </c>
      <c r="AM557" t="str">
        <f>"8869308384"</f>
        <v>8869308384</v>
      </c>
      <c r="AN557">
        <v>2023</v>
      </c>
      <c r="AO557">
        <v>228</v>
      </c>
      <c r="AP557">
        <v>53.57</v>
      </c>
      <c r="AQ557">
        <v>0</v>
      </c>
      <c r="AR557" s="2">
        <v>17036.45</v>
      </c>
      <c r="AS557" t="s">
        <v>194</v>
      </c>
      <c r="AT557">
        <v>48.7</v>
      </c>
      <c r="AU557">
        <v>4.87</v>
      </c>
      <c r="AV557">
        <v>2023</v>
      </c>
      <c r="AW557">
        <v>89</v>
      </c>
      <c r="AX557">
        <v>670</v>
      </c>
      <c r="AY557">
        <v>0</v>
      </c>
      <c r="AZ557" t="s">
        <v>855</v>
      </c>
      <c r="BA557">
        <v>53.57</v>
      </c>
      <c r="BB557" s="1">
        <v>44978</v>
      </c>
    </row>
    <row r="558" spans="1:54" x14ac:dyDescent="0.25">
      <c r="A558">
        <v>2023</v>
      </c>
      <c r="B558">
        <v>213</v>
      </c>
      <c r="C558" s="1">
        <v>44978</v>
      </c>
      <c r="D558">
        <v>2023</v>
      </c>
      <c r="E558">
        <v>2023</v>
      </c>
      <c r="F558">
        <v>14</v>
      </c>
      <c r="H558" t="s">
        <v>852</v>
      </c>
      <c r="I558">
        <v>130</v>
      </c>
      <c r="J558">
        <v>0</v>
      </c>
      <c r="K558" t="s">
        <v>128</v>
      </c>
      <c r="R558" t="s">
        <v>190</v>
      </c>
      <c r="S558" t="str">
        <f t="shared" si="54"/>
        <v>31</v>
      </c>
      <c r="T558" t="s">
        <v>122</v>
      </c>
      <c r="W558" t="s">
        <v>850</v>
      </c>
      <c r="Y558">
        <v>3344</v>
      </c>
      <c r="Z558" t="s">
        <v>192</v>
      </c>
      <c r="AB558" t="str">
        <f t="shared" si="55"/>
        <v>02616630022</v>
      </c>
      <c r="AC558" t="s">
        <v>116</v>
      </c>
      <c r="AD558" t="s">
        <v>193</v>
      </c>
      <c r="AF558">
        <v>2023</v>
      </c>
      <c r="AG558">
        <v>249</v>
      </c>
      <c r="AH558" t="str">
        <f t="shared" si="53"/>
        <v>1</v>
      </c>
      <c r="AI558" t="str">
        <f>"5230005661"</f>
        <v>5230005661</v>
      </c>
      <c r="AJ558" s="1">
        <v>44944</v>
      </c>
      <c r="AL558">
        <v>9.5500000000000007</v>
      </c>
      <c r="AM558" t="str">
        <f>"8869253690"</f>
        <v>8869253690</v>
      </c>
      <c r="AN558">
        <v>2023</v>
      </c>
      <c r="AO558">
        <v>228</v>
      </c>
      <c r="AP558">
        <v>9.5500000000000007</v>
      </c>
      <c r="AQ558">
        <v>0</v>
      </c>
      <c r="AR558" s="2">
        <v>17036.45</v>
      </c>
      <c r="AS558" t="s">
        <v>194</v>
      </c>
      <c r="AT558">
        <v>8.68</v>
      </c>
      <c r="AU558">
        <v>0.87</v>
      </c>
      <c r="AV558">
        <v>2023</v>
      </c>
      <c r="AW558">
        <v>89</v>
      </c>
      <c r="AX558">
        <v>670</v>
      </c>
      <c r="AY558">
        <v>0</v>
      </c>
      <c r="AZ558" t="s">
        <v>855</v>
      </c>
      <c r="BA558">
        <v>9.5500000000000007</v>
      </c>
      <c r="BB558" s="1">
        <v>44978</v>
      </c>
    </row>
    <row r="559" spans="1:54" x14ac:dyDescent="0.25">
      <c r="A559">
        <v>2023</v>
      </c>
      <c r="B559">
        <v>213</v>
      </c>
      <c r="C559" s="1">
        <v>44978</v>
      </c>
      <c r="D559">
        <v>2023</v>
      </c>
      <c r="E559">
        <v>2023</v>
      </c>
      <c r="F559">
        <v>14</v>
      </c>
      <c r="H559" t="s">
        <v>852</v>
      </c>
      <c r="I559">
        <v>130</v>
      </c>
      <c r="J559">
        <v>0</v>
      </c>
      <c r="K559" t="s">
        <v>128</v>
      </c>
      <c r="R559" t="s">
        <v>190</v>
      </c>
      <c r="S559" t="str">
        <f t="shared" si="54"/>
        <v>31</v>
      </c>
      <c r="T559" t="s">
        <v>122</v>
      </c>
      <c r="W559" t="s">
        <v>850</v>
      </c>
      <c r="Y559">
        <v>3344</v>
      </c>
      <c r="Z559" t="s">
        <v>192</v>
      </c>
      <c r="AB559" t="str">
        <f t="shared" si="55"/>
        <v>02616630022</v>
      </c>
      <c r="AC559" t="s">
        <v>116</v>
      </c>
      <c r="AD559" t="s">
        <v>193</v>
      </c>
      <c r="AF559">
        <v>2023</v>
      </c>
      <c r="AG559">
        <v>250</v>
      </c>
      <c r="AH559" t="str">
        <f t="shared" si="53"/>
        <v>1</v>
      </c>
      <c r="AI559" t="str">
        <f>"5230005662"</f>
        <v>5230005662</v>
      </c>
      <c r="AJ559" s="1">
        <v>44944</v>
      </c>
      <c r="AL559">
        <v>62.74</v>
      </c>
      <c r="AM559" t="str">
        <f>"8869322689"</f>
        <v>8869322689</v>
      </c>
      <c r="AN559">
        <v>2023</v>
      </c>
      <c r="AO559">
        <v>228</v>
      </c>
      <c r="AP559">
        <v>62.74</v>
      </c>
      <c r="AQ559">
        <v>0</v>
      </c>
      <c r="AR559" s="2">
        <v>17036.45</v>
      </c>
      <c r="AS559" t="s">
        <v>177</v>
      </c>
      <c r="AT559">
        <v>51.43</v>
      </c>
      <c r="AU559">
        <v>11.31</v>
      </c>
      <c r="AV559">
        <v>2023</v>
      </c>
      <c r="AW559">
        <v>89</v>
      </c>
      <c r="AX559">
        <v>670</v>
      </c>
      <c r="AY559">
        <v>0</v>
      </c>
      <c r="AZ559" t="s">
        <v>855</v>
      </c>
      <c r="BA559">
        <v>62.74</v>
      </c>
      <c r="BB559" s="1">
        <v>44978</v>
      </c>
    </row>
    <row r="560" spans="1:54" x14ac:dyDescent="0.25">
      <c r="A560">
        <v>2023</v>
      </c>
      <c r="B560">
        <v>213</v>
      </c>
      <c r="C560" s="1">
        <v>44978</v>
      </c>
      <c r="D560">
        <v>2023</v>
      </c>
      <c r="E560">
        <v>2023</v>
      </c>
      <c r="F560">
        <v>14</v>
      </c>
      <c r="H560" t="s">
        <v>852</v>
      </c>
      <c r="I560">
        <v>130</v>
      </c>
      <c r="J560">
        <v>0</v>
      </c>
      <c r="K560" t="s">
        <v>128</v>
      </c>
      <c r="R560" t="s">
        <v>190</v>
      </c>
      <c r="S560" t="str">
        <f t="shared" si="54"/>
        <v>31</v>
      </c>
      <c r="T560" t="s">
        <v>122</v>
      </c>
      <c r="W560" t="s">
        <v>850</v>
      </c>
      <c r="Y560">
        <v>3344</v>
      </c>
      <c r="Z560" t="s">
        <v>192</v>
      </c>
      <c r="AB560" t="str">
        <f t="shared" si="55"/>
        <v>02616630022</v>
      </c>
      <c r="AC560" t="s">
        <v>116</v>
      </c>
      <c r="AD560" t="s">
        <v>193</v>
      </c>
      <c r="AF560">
        <v>2023</v>
      </c>
      <c r="AG560">
        <v>251</v>
      </c>
      <c r="AH560" t="str">
        <f t="shared" si="53"/>
        <v>1</v>
      </c>
      <c r="AI560" t="str">
        <f>"5230005598"</f>
        <v>5230005598</v>
      </c>
      <c r="AJ560" s="1">
        <v>44944</v>
      </c>
      <c r="AL560">
        <v>117.5</v>
      </c>
      <c r="AM560" t="str">
        <f>"8869304987"</f>
        <v>8869304987</v>
      </c>
      <c r="AN560">
        <v>2023</v>
      </c>
      <c r="AO560">
        <v>228</v>
      </c>
      <c r="AP560">
        <v>117.5</v>
      </c>
      <c r="AQ560">
        <v>0</v>
      </c>
      <c r="AR560" s="2">
        <v>17036.45</v>
      </c>
      <c r="AS560" t="s">
        <v>194</v>
      </c>
      <c r="AT560">
        <v>106.82</v>
      </c>
      <c r="AU560">
        <v>10.68</v>
      </c>
      <c r="AV560">
        <v>2023</v>
      </c>
      <c r="AW560">
        <v>89</v>
      </c>
      <c r="AX560">
        <v>670</v>
      </c>
      <c r="AY560">
        <v>0</v>
      </c>
      <c r="AZ560" t="s">
        <v>855</v>
      </c>
      <c r="BA560">
        <v>117.5</v>
      </c>
      <c r="BB560" s="1">
        <v>44978</v>
      </c>
    </row>
    <row r="561" spans="1:54" x14ac:dyDescent="0.25">
      <c r="A561">
        <v>2023</v>
      </c>
      <c r="B561">
        <v>213</v>
      </c>
      <c r="C561" s="1">
        <v>44978</v>
      </c>
      <c r="D561">
        <v>2023</v>
      </c>
      <c r="E561">
        <v>2023</v>
      </c>
      <c r="F561">
        <v>14</v>
      </c>
      <c r="H561" t="s">
        <v>852</v>
      </c>
      <c r="I561">
        <v>130</v>
      </c>
      <c r="J561">
        <v>0</v>
      </c>
      <c r="K561" t="s">
        <v>128</v>
      </c>
      <c r="R561" t="s">
        <v>190</v>
      </c>
      <c r="S561" t="str">
        <f t="shared" si="54"/>
        <v>31</v>
      </c>
      <c r="T561" t="s">
        <v>122</v>
      </c>
      <c r="W561" t="s">
        <v>850</v>
      </c>
      <c r="Y561">
        <v>3344</v>
      </c>
      <c r="Z561" t="s">
        <v>192</v>
      </c>
      <c r="AB561" t="str">
        <f t="shared" si="55"/>
        <v>02616630022</v>
      </c>
      <c r="AC561" t="s">
        <v>116</v>
      </c>
      <c r="AD561" t="s">
        <v>193</v>
      </c>
      <c r="AF561">
        <v>2023</v>
      </c>
      <c r="AG561">
        <v>252</v>
      </c>
      <c r="AH561" t="str">
        <f t="shared" ref="AH561:AH568" si="56">"1"</f>
        <v>1</v>
      </c>
      <c r="AI561" t="str">
        <f>"5230005651"</f>
        <v>5230005651</v>
      </c>
      <c r="AJ561" s="1">
        <v>44944</v>
      </c>
      <c r="AL561">
        <v>148.01</v>
      </c>
      <c r="AM561" t="str">
        <f>"8869296295"</f>
        <v>8869296295</v>
      </c>
      <c r="AN561">
        <v>2023</v>
      </c>
      <c r="AO561">
        <v>228</v>
      </c>
      <c r="AP561">
        <v>148.01</v>
      </c>
      <c r="AQ561">
        <v>0</v>
      </c>
      <c r="AR561" s="2">
        <v>17036.45</v>
      </c>
      <c r="AS561" t="s">
        <v>177</v>
      </c>
      <c r="AT561">
        <v>121.32</v>
      </c>
      <c r="AU561">
        <v>26.69</v>
      </c>
      <c r="AV561">
        <v>2023</v>
      </c>
      <c r="AW561">
        <v>89</v>
      </c>
      <c r="AX561">
        <v>670</v>
      </c>
      <c r="AY561">
        <v>0</v>
      </c>
      <c r="AZ561" t="s">
        <v>855</v>
      </c>
      <c r="BA561">
        <v>148.01</v>
      </c>
      <c r="BB561" s="1">
        <v>44978</v>
      </c>
    </row>
    <row r="562" spans="1:54" x14ac:dyDescent="0.25">
      <c r="A562">
        <v>2023</v>
      </c>
      <c r="B562">
        <v>213</v>
      </c>
      <c r="C562" s="1">
        <v>44978</v>
      </c>
      <c r="D562">
        <v>2023</v>
      </c>
      <c r="E562">
        <v>2023</v>
      </c>
      <c r="F562">
        <v>14</v>
      </c>
      <c r="H562" t="s">
        <v>852</v>
      </c>
      <c r="I562">
        <v>130</v>
      </c>
      <c r="J562">
        <v>0</v>
      </c>
      <c r="K562" t="s">
        <v>128</v>
      </c>
      <c r="R562" t="s">
        <v>190</v>
      </c>
      <c r="S562" t="str">
        <f t="shared" si="54"/>
        <v>31</v>
      </c>
      <c r="T562" t="s">
        <v>122</v>
      </c>
      <c r="W562" t="s">
        <v>850</v>
      </c>
      <c r="Y562">
        <v>3344</v>
      </c>
      <c r="Z562" t="s">
        <v>192</v>
      </c>
      <c r="AB562" t="str">
        <f t="shared" si="55"/>
        <v>02616630022</v>
      </c>
      <c r="AC562" t="s">
        <v>116</v>
      </c>
      <c r="AD562" t="s">
        <v>193</v>
      </c>
      <c r="AF562">
        <v>2023</v>
      </c>
      <c r="AG562">
        <v>253</v>
      </c>
      <c r="AH562" t="str">
        <f t="shared" si="56"/>
        <v>1</v>
      </c>
      <c r="AI562" t="str">
        <f>"5230005589"</f>
        <v>5230005589</v>
      </c>
      <c r="AJ562" s="1">
        <v>44944</v>
      </c>
      <c r="AL562">
        <v>18.559999999999999</v>
      </c>
      <c r="AM562" t="str">
        <f>"8869226797"</f>
        <v>8869226797</v>
      </c>
      <c r="AN562">
        <v>2023</v>
      </c>
      <c r="AO562">
        <v>228</v>
      </c>
      <c r="AP562">
        <v>18.559999999999999</v>
      </c>
      <c r="AQ562">
        <v>0</v>
      </c>
      <c r="AR562" s="2">
        <v>17036.45</v>
      </c>
      <c r="AS562" t="s">
        <v>194</v>
      </c>
      <c r="AT562">
        <v>16.87</v>
      </c>
      <c r="AU562">
        <v>1.69</v>
      </c>
      <c r="AV562">
        <v>2023</v>
      </c>
      <c r="AW562">
        <v>89</v>
      </c>
      <c r="AX562">
        <v>670</v>
      </c>
      <c r="AY562">
        <v>0</v>
      </c>
      <c r="AZ562" t="s">
        <v>855</v>
      </c>
      <c r="BA562">
        <v>18.559999999999999</v>
      </c>
      <c r="BB562" s="1">
        <v>44978</v>
      </c>
    </row>
    <row r="563" spans="1:54" x14ac:dyDescent="0.25">
      <c r="A563">
        <v>2023</v>
      </c>
      <c r="B563">
        <v>213</v>
      </c>
      <c r="C563" s="1">
        <v>44978</v>
      </c>
      <c r="D563">
        <v>2023</v>
      </c>
      <c r="E563">
        <v>2023</v>
      </c>
      <c r="F563">
        <v>14</v>
      </c>
      <c r="H563" t="s">
        <v>852</v>
      </c>
      <c r="I563">
        <v>130</v>
      </c>
      <c r="J563">
        <v>0</v>
      </c>
      <c r="K563" t="s">
        <v>128</v>
      </c>
      <c r="R563" t="s">
        <v>190</v>
      </c>
      <c r="S563" t="str">
        <f t="shared" si="54"/>
        <v>31</v>
      </c>
      <c r="T563" t="s">
        <v>122</v>
      </c>
      <c r="W563" t="s">
        <v>850</v>
      </c>
      <c r="Y563">
        <v>3344</v>
      </c>
      <c r="Z563" t="s">
        <v>192</v>
      </c>
      <c r="AB563" t="str">
        <f t="shared" si="55"/>
        <v>02616630022</v>
      </c>
      <c r="AC563" t="s">
        <v>116</v>
      </c>
      <c r="AD563" t="s">
        <v>193</v>
      </c>
      <c r="AF563">
        <v>2023</v>
      </c>
      <c r="AG563">
        <v>254</v>
      </c>
      <c r="AH563" t="str">
        <f t="shared" si="56"/>
        <v>1</v>
      </c>
      <c r="AI563" t="str">
        <f>"5230005659"</f>
        <v>5230005659</v>
      </c>
      <c r="AJ563" s="1">
        <v>44944</v>
      </c>
      <c r="AL563">
        <v>29.52</v>
      </c>
      <c r="AM563" t="str">
        <f>"8869308898"</f>
        <v>8869308898</v>
      </c>
      <c r="AN563">
        <v>2023</v>
      </c>
      <c r="AO563">
        <v>228</v>
      </c>
      <c r="AP563">
        <v>29.52</v>
      </c>
      <c r="AQ563">
        <v>0</v>
      </c>
      <c r="AR563" s="2">
        <v>17036.45</v>
      </c>
      <c r="AS563" t="s">
        <v>194</v>
      </c>
      <c r="AT563">
        <v>26.84</v>
      </c>
      <c r="AU563">
        <v>2.68</v>
      </c>
      <c r="AV563">
        <v>2023</v>
      </c>
      <c r="AW563">
        <v>89</v>
      </c>
      <c r="AX563">
        <v>670</v>
      </c>
      <c r="AY563">
        <v>0</v>
      </c>
      <c r="AZ563" t="s">
        <v>855</v>
      </c>
      <c r="BA563">
        <v>29.52</v>
      </c>
      <c r="BB563" s="1">
        <v>44978</v>
      </c>
    </row>
    <row r="564" spans="1:54" x14ac:dyDescent="0.25">
      <c r="A564">
        <v>2023</v>
      </c>
      <c r="B564">
        <v>213</v>
      </c>
      <c r="C564" s="1">
        <v>44978</v>
      </c>
      <c r="D564">
        <v>2023</v>
      </c>
      <c r="E564">
        <v>2023</v>
      </c>
      <c r="F564">
        <v>14</v>
      </c>
      <c r="H564" t="s">
        <v>852</v>
      </c>
      <c r="I564">
        <v>130</v>
      </c>
      <c r="J564">
        <v>0</v>
      </c>
      <c r="K564" t="s">
        <v>128</v>
      </c>
      <c r="R564" t="s">
        <v>190</v>
      </c>
      <c r="S564" t="str">
        <f t="shared" si="54"/>
        <v>31</v>
      </c>
      <c r="T564" t="s">
        <v>122</v>
      </c>
      <c r="W564" t="s">
        <v>850</v>
      </c>
      <c r="Y564">
        <v>3344</v>
      </c>
      <c r="Z564" t="s">
        <v>192</v>
      </c>
      <c r="AB564" t="str">
        <f t="shared" si="55"/>
        <v>02616630022</v>
      </c>
      <c r="AC564" t="s">
        <v>116</v>
      </c>
      <c r="AD564" t="s">
        <v>193</v>
      </c>
      <c r="AF564">
        <v>2023</v>
      </c>
      <c r="AG564">
        <v>256</v>
      </c>
      <c r="AH564" t="str">
        <f t="shared" si="56"/>
        <v>1</v>
      </c>
      <c r="AI564" t="str">
        <f>"5230005510"</f>
        <v>5230005510</v>
      </c>
      <c r="AJ564" s="1">
        <v>44944</v>
      </c>
      <c r="AL564" s="2">
        <v>-1711.86</v>
      </c>
      <c r="AM564" t="str">
        <f>"8869523575"</f>
        <v>8869523575</v>
      </c>
      <c r="AN564">
        <v>2023</v>
      </c>
      <c r="AO564">
        <v>228</v>
      </c>
      <c r="AP564" s="2">
        <v>-1711.86</v>
      </c>
      <c r="AQ564">
        <v>0</v>
      </c>
      <c r="AR564" s="2">
        <v>17036.45</v>
      </c>
      <c r="AS564" t="s">
        <v>194</v>
      </c>
      <c r="AT564">
        <v>-1556.24</v>
      </c>
      <c r="AU564">
        <v>-155.62</v>
      </c>
      <c r="AV564">
        <v>2023</v>
      </c>
      <c r="AW564">
        <v>89</v>
      </c>
      <c r="AX564">
        <v>670</v>
      </c>
      <c r="AY564">
        <v>0</v>
      </c>
      <c r="AZ564" t="s">
        <v>855</v>
      </c>
      <c r="BA564">
        <v>-1711.86</v>
      </c>
      <c r="BB564" s="1">
        <v>44978</v>
      </c>
    </row>
    <row r="565" spans="1:54" x14ac:dyDescent="0.25">
      <c r="A565">
        <v>2023</v>
      </c>
      <c r="B565">
        <v>214</v>
      </c>
      <c r="C565" s="1">
        <v>44978</v>
      </c>
      <c r="D565">
        <v>2023</v>
      </c>
      <c r="E565">
        <v>2022</v>
      </c>
      <c r="F565">
        <v>293</v>
      </c>
      <c r="H565" t="s">
        <v>856</v>
      </c>
      <c r="I565">
        <v>149</v>
      </c>
      <c r="J565">
        <v>0</v>
      </c>
      <c r="K565" t="s">
        <v>277</v>
      </c>
      <c r="R565" t="s">
        <v>857</v>
      </c>
      <c r="S565" t="str">
        <f t="shared" ref="S565:S575" si="57">"30"</f>
        <v>30</v>
      </c>
      <c r="T565" t="s">
        <v>78</v>
      </c>
      <c r="W565" t="s">
        <v>858</v>
      </c>
      <c r="Y565">
        <v>127</v>
      </c>
      <c r="Z565" t="s">
        <v>660</v>
      </c>
      <c r="AB565" t="str">
        <f>"00488410010"</f>
        <v>00488410010</v>
      </c>
      <c r="AC565" t="s">
        <v>116</v>
      </c>
      <c r="AD565" t="s">
        <v>859</v>
      </c>
      <c r="AF565">
        <v>2022</v>
      </c>
      <c r="AG565">
        <v>3817</v>
      </c>
      <c r="AH565" t="str">
        <f t="shared" si="56"/>
        <v>1</v>
      </c>
      <c r="AI565" s="3" t="s">
        <v>860</v>
      </c>
      <c r="AJ565" s="1">
        <v>44907</v>
      </c>
      <c r="AK565" t="s">
        <v>858</v>
      </c>
      <c r="AL565">
        <v>80.400000000000006</v>
      </c>
      <c r="AM565" t="str">
        <f>"8650372241"</f>
        <v>8650372241</v>
      </c>
      <c r="AN565">
        <v>2023</v>
      </c>
      <c r="AO565">
        <v>155</v>
      </c>
      <c r="AP565">
        <v>80.400000000000006</v>
      </c>
      <c r="AQ565">
        <v>0</v>
      </c>
      <c r="AR565">
        <v>14.5</v>
      </c>
      <c r="AS565" t="s">
        <v>177</v>
      </c>
      <c r="AT565">
        <v>65.900000000000006</v>
      </c>
      <c r="AU565">
        <v>14.5</v>
      </c>
      <c r="AV565">
        <v>2023</v>
      </c>
      <c r="AW565">
        <v>90</v>
      </c>
      <c r="AX565">
        <v>670</v>
      </c>
      <c r="AY565">
        <v>0</v>
      </c>
      <c r="AZ565" t="s">
        <v>861</v>
      </c>
      <c r="BA565">
        <v>80.400000000000006</v>
      </c>
      <c r="BB565" s="1">
        <v>44978</v>
      </c>
    </row>
    <row r="566" spans="1:54" x14ac:dyDescent="0.25">
      <c r="A566">
        <v>2023</v>
      </c>
      <c r="B566">
        <v>215</v>
      </c>
      <c r="C566" s="1">
        <v>44978</v>
      </c>
      <c r="D566">
        <v>2023</v>
      </c>
      <c r="E566">
        <v>2022</v>
      </c>
      <c r="F566">
        <v>713</v>
      </c>
      <c r="H566" t="s">
        <v>862</v>
      </c>
      <c r="I566">
        <v>149</v>
      </c>
      <c r="J566">
        <v>0</v>
      </c>
      <c r="K566" t="s">
        <v>277</v>
      </c>
      <c r="R566" t="s">
        <v>863</v>
      </c>
      <c r="S566" t="str">
        <f t="shared" si="57"/>
        <v>30</v>
      </c>
      <c r="T566" t="s">
        <v>78</v>
      </c>
      <c r="W566" t="s">
        <v>864</v>
      </c>
      <c r="Y566">
        <v>127</v>
      </c>
      <c r="Z566" t="s">
        <v>660</v>
      </c>
      <c r="AB566" t="str">
        <f>"00488410010"</f>
        <v>00488410010</v>
      </c>
      <c r="AC566" t="s">
        <v>116</v>
      </c>
      <c r="AD566" t="s">
        <v>859</v>
      </c>
      <c r="AF566">
        <v>2022</v>
      </c>
      <c r="AG566">
        <v>3814</v>
      </c>
      <c r="AH566" t="str">
        <f t="shared" si="56"/>
        <v>1</v>
      </c>
      <c r="AI566" t="str">
        <f>"4220423800063555"</f>
        <v>4220423800063555</v>
      </c>
      <c r="AJ566" s="1">
        <v>44907</v>
      </c>
      <c r="AK566" t="s">
        <v>865</v>
      </c>
      <c r="AL566" s="2">
        <v>1773.61</v>
      </c>
      <c r="AM566" t="str">
        <f>"8650372534"</f>
        <v>8650372534</v>
      </c>
      <c r="AN566">
        <v>2023</v>
      </c>
      <c r="AO566">
        <v>158</v>
      </c>
      <c r="AP566" s="2">
        <v>1051.4000000000001</v>
      </c>
      <c r="AQ566">
        <v>0</v>
      </c>
      <c r="AR566">
        <v>319.83</v>
      </c>
      <c r="AS566" t="s">
        <v>177</v>
      </c>
      <c r="AT566">
        <v>1453.78</v>
      </c>
      <c r="AU566">
        <v>319.83</v>
      </c>
      <c r="AV566">
        <v>2023</v>
      </c>
      <c r="AW566">
        <v>91</v>
      </c>
      <c r="AX566">
        <v>670</v>
      </c>
      <c r="AY566">
        <v>0</v>
      </c>
      <c r="AZ566" t="s">
        <v>866</v>
      </c>
      <c r="BA566">
        <v>1051.4000000000001</v>
      </c>
      <c r="BB566" s="1">
        <v>44978</v>
      </c>
    </row>
    <row r="567" spans="1:54" x14ac:dyDescent="0.25">
      <c r="A567">
        <v>2023</v>
      </c>
      <c r="B567">
        <v>216</v>
      </c>
      <c r="C567" s="1">
        <v>44978</v>
      </c>
      <c r="D567">
        <v>2023</v>
      </c>
      <c r="E567">
        <v>2022</v>
      </c>
      <c r="F567">
        <v>646</v>
      </c>
      <c r="H567" t="s">
        <v>867</v>
      </c>
      <c r="I567">
        <v>130</v>
      </c>
      <c r="J567">
        <v>0</v>
      </c>
      <c r="K567" t="s">
        <v>128</v>
      </c>
      <c r="R567" t="s">
        <v>863</v>
      </c>
      <c r="S567" t="str">
        <f t="shared" si="57"/>
        <v>30</v>
      </c>
      <c r="T567" t="s">
        <v>78</v>
      </c>
      <c r="W567" t="s">
        <v>868</v>
      </c>
      <c r="Y567">
        <v>127</v>
      </c>
      <c r="Z567" t="s">
        <v>660</v>
      </c>
      <c r="AB567" t="str">
        <f>"00488410010"</f>
        <v>00488410010</v>
      </c>
      <c r="AC567" t="s">
        <v>116</v>
      </c>
      <c r="AD567" t="s">
        <v>859</v>
      </c>
      <c r="AF567">
        <v>2022</v>
      </c>
      <c r="AG567">
        <v>3814</v>
      </c>
      <c r="AH567" t="str">
        <f t="shared" si="56"/>
        <v>1</v>
      </c>
      <c r="AI567" t="str">
        <f>"4220423800063555"</f>
        <v>4220423800063555</v>
      </c>
      <c r="AJ567" s="1">
        <v>44907</v>
      </c>
      <c r="AK567" t="s">
        <v>865</v>
      </c>
      <c r="AL567" s="2">
        <v>1773.61</v>
      </c>
      <c r="AM567" t="str">
        <f>"8650372534"</f>
        <v>8650372534</v>
      </c>
      <c r="AN567">
        <v>2023</v>
      </c>
      <c r="AO567">
        <v>157</v>
      </c>
      <c r="AP567">
        <v>647.89</v>
      </c>
      <c r="AQ567">
        <v>0</v>
      </c>
      <c r="AR567">
        <v>0</v>
      </c>
      <c r="BA567">
        <v>647.89</v>
      </c>
      <c r="BB567" s="1">
        <v>44978</v>
      </c>
    </row>
    <row r="568" spans="1:54" x14ac:dyDescent="0.25">
      <c r="A568">
        <v>2023</v>
      </c>
      <c r="B568">
        <v>217</v>
      </c>
      <c r="C568" s="1">
        <v>44978</v>
      </c>
      <c r="D568">
        <v>2023</v>
      </c>
      <c r="E568">
        <v>2022</v>
      </c>
      <c r="F568">
        <v>549</v>
      </c>
      <c r="H568" t="s">
        <v>869</v>
      </c>
      <c r="I568">
        <v>130</v>
      </c>
      <c r="J568">
        <v>0</v>
      </c>
      <c r="K568" t="s">
        <v>128</v>
      </c>
      <c r="R568" t="s">
        <v>870</v>
      </c>
      <c r="S568" t="str">
        <f t="shared" si="57"/>
        <v>30</v>
      </c>
      <c r="T568" t="s">
        <v>78</v>
      </c>
      <c r="W568" t="s">
        <v>871</v>
      </c>
      <c r="Y568">
        <v>127</v>
      </c>
      <c r="Z568" t="s">
        <v>660</v>
      </c>
      <c r="AB568" t="str">
        <f>"00488410010"</f>
        <v>00488410010</v>
      </c>
      <c r="AC568" t="s">
        <v>116</v>
      </c>
      <c r="AD568" t="s">
        <v>859</v>
      </c>
      <c r="AF568">
        <v>2022</v>
      </c>
      <c r="AG568">
        <v>3814</v>
      </c>
      <c r="AH568" t="str">
        <f t="shared" si="56"/>
        <v>1</v>
      </c>
      <c r="AI568" t="str">
        <f>"4220423800063555"</f>
        <v>4220423800063555</v>
      </c>
      <c r="AJ568" s="1">
        <v>44907</v>
      </c>
      <c r="AK568" t="s">
        <v>865</v>
      </c>
      <c r="AL568" s="2">
        <v>1773.61</v>
      </c>
      <c r="AM568" t="str">
        <f>"8650372534"</f>
        <v>8650372534</v>
      </c>
      <c r="AN568">
        <v>2023</v>
      </c>
      <c r="AO568">
        <v>156</v>
      </c>
      <c r="AP568">
        <v>74.319999999999993</v>
      </c>
      <c r="AQ568">
        <v>0</v>
      </c>
      <c r="AR568">
        <v>0</v>
      </c>
      <c r="BA568">
        <v>74.319999999999993</v>
      </c>
      <c r="BB568" s="1">
        <v>44978</v>
      </c>
    </row>
    <row r="569" spans="1:54" x14ac:dyDescent="0.25">
      <c r="A569">
        <v>2023</v>
      </c>
      <c r="B569">
        <v>218</v>
      </c>
      <c r="C569" s="1">
        <v>44978</v>
      </c>
      <c r="D569">
        <v>2023</v>
      </c>
      <c r="E569">
        <v>2023</v>
      </c>
      <c r="F569">
        <v>28</v>
      </c>
      <c r="H569" t="s">
        <v>798</v>
      </c>
      <c r="I569">
        <v>116</v>
      </c>
      <c r="J569">
        <v>0</v>
      </c>
      <c r="K569" t="s">
        <v>90</v>
      </c>
      <c r="S569" t="str">
        <f t="shared" si="57"/>
        <v>30</v>
      </c>
      <c r="T569" t="s">
        <v>78</v>
      </c>
      <c r="W569" t="s">
        <v>872</v>
      </c>
      <c r="Y569">
        <v>186</v>
      </c>
      <c r="Z569" t="s">
        <v>106</v>
      </c>
      <c r="AB569" t="str">
        <f>"02070800582"</f>
        <v>02070800582</v>
      </c>
      <c r="AC569" t="s">
        <v>103</v>
      </c>
      <c r="AP569" s="2">
        <v>6478.46</v>
      </c>
      <c r="AQ569">
        <v>0</v>
      </c>
      <c r="AR569">
        <v>0</v>
      </c>
      <c r="BA569">
        <v>6478.46</v>
      </c>
      <c r="BB569" s="1">
        <v>44978</v>
      </c>
    </row>
    <row r="570" spans="1:54" x14ac:dyDescent="0.25">
      <c r="A570">
        <v>2023</v>
      </c>
      <c r="B570">
        <v>219</v>
      </c>
      <c r="C570" s="1">
        <v>44978</v>
      </c>
      <c r="D570">
        <v>2023</v>
      </c>
      <c r="E570">
        <v>2023</v>
      </c>
      <c r="F570">
        <v>66</v>
      </c>
      <c r="H570" t="s">
        <v>482</v>
      </c>
      <c r="I570">
        <v>400</v>
      </c>
      <c r="J570">
        <v>0</v>
      </c>
      <c r="K570" t="s">
        <v>95</v>
      </c>
      <c r="S570" t="str">
        <f t="shared" si="57"/>
        <v>30</v>
      </c>
      <c r="T570" t="s">
        <v>78</v>
      </c>
      <c r="W570" t="s">
        <v>873</v>
      </c>
      <c r="Y570">
        <v>186</v>
      </c>
      <c r="Z570" t="s">
        <v>106</v>
      </c>
      <c r="AB570" t="str">
        <f>"02070800582"</f>
        <v>02070800582</v>
      </c>
      <c r="AC570" t="s">
        <v>103</v>
      </c>
      <c r="AP570" s="2">
        <v>3329.01</v>
      </c>
      <c r="AQ570">
        <v>0</v>
      </c>
      <c r="AR570">
        <v>0</v>
      </c>
      <c r="BA570">
        <v>3329.01</v>
      </c>
      <c r="BB570" s="1">
        <v>44978</v>
      </c>
    </row>
    <row r="571" spans="1:54" x14ac:dyDescent="0.25">
      <c r="A571">
        <v>2023</v>
      </c>
      <c r="B571">
        <v>220</v>
      </c>
      <c r="C571" s="1">
        <v>44978</v>
      </c>
      <c r="D571">
        <v>2023</v>
      </c>
      <c r="E571">
        <v>2023</v>
      </c>
      <c r="F571">
        <v>28</v>
      </c>
      <c r="H571" t="s">
        <v>798</v>
      </c>
      <c r="I571">
        <v>116</v>
      </c>
      <c r="J571">
        <v>0</v>
      </c>
      <c r="K571" t="s">
        <v>90</v>
      </c>
      <c r="S571" t="str">
        <f t="shared" si="57"/>
        <v>30</v>
      </c>
      <c r="T571" t="s">
        <v>78</v>
      </c>
      <c r="W571" t="s">
        <v>874</v>
      </c>
      <c r="Y571">
        <v>186</v>
      </c>
      <c r="Z571" t="s">
        <v>106</v>
      </c>
      <c r="AB571" t="str">
        <f>"02070800582"</f>
        <v>02070800582</v>
      </c>
      <c r="AC571" t="s">
        <v>103</v>
      </c>
      <c r="AP571" s="2">
        <v>20262.07</v>
      </c>
      <c r="AQ571">
        <v>0</v>
      </c>
      <c r="AR571">
        <v>0</v>
      </c>
      <c r="BA571">
        <v>20262.07</v>
      </c>
      <c r="BB571" s="1">
        <v>44978</v>
      </c>
    </row>
    <row r="572" spans="1:54" x14ac:dyDescent="0.25">
      <c r="A572">
        <v>2023</v>
      </c>
      <c r="B572">
        <v>221</v>
      </c>
      <c r="C572" s="1">
        <v>44978</v>
      </c>
      <c r="D572">
        <v>2023</v>
      </c>
      <c r="E572">
        <v>2023</v>
      </c>
      <c r="F572">
        <v>75</v>
      </c>
      <c r="H572" t="s">
        <v>875</v>
      </c>
      <c r="I572">
        <v>165</v>
      </c>
      <c r="J572">
        <v>0</v>
      </c>
      <c r="K572" t="s">
        <v>110</v>
      </c>
      <c r="S572" t="str">
        <f t="shared" si="57"/>
        <v>30</v>
      </c>
      <c r="T572" t="s">
        <v>78</v>
      </c>
      <c r="W572" t="s">
        <v>876</v>
      </c>
      <c r="Y572">
        <v>186</v>
      </c>
      <c r="Z572" t="s">
        <v>106</v>
      </c>
      <c r="AB572" t="str">
        <f>"02070800582"</f>
        <v>02070800582</v>
      </c>
      <c r="AC572" t="s">
        <v>103</v>
      </c>
      <c r="AP572" s="2">
        <v>6002</v>
      </c>
      <c r="AQ572">
        <v>0</v>
      </c>
      <c r="AR572">
        <v>0</v>
      </c>
      <c r="BA572">
        <v>6002</v>
      </c>
      <c r="BB572" s="1">
        <v>44978</v>
      </c>
    </row>
    <row r="573" spans="1:54" x14ac:dyDescent="0.25">
      <c r="A573">
        <v>2023</v>
      </c>
      <c r="B573">
        <v>222</v>
      </c>
      <c r="C573" s="1">
        <v>44978</v>
      </c>
      <c r="D573">
        <v>2023</v>
      </c>
      <c r="E573">
        <v>2023</v>
      </c>
      <c r="F573">
        <v>73</v>
      </c>
      <c r="H573" t="s">
        <v>877</v>
      </c>
      <c r="I573">
        <v>165</v>
      </c>
      <c r="J573">
        <v>0</v>
      </c>
      <c r="K573" t="s">
        <v>110</v>
      </c>
      <c r="S573" t="str">
        <f t="shared" si="57"/>
        <v>30</v>
      </c>
      <c r="T573" t="s">
        <v>78</v>
      </c>
      <c r="W573" t="s">
        <v>878</v>
      </c>
      <c r="Y573">
        <v>186</v>
      </c>
      <c r="Z573" t="s">
        <v>106</v>
      </c>
      <c r="AB573" t="str">
        <f>"02070800582"</f>
        <v>02070800582</v>
      </c>
      <c r="AC573" t="s">
        <v>103</v>
      </c>
      <c r="AP573" s="2">
        <v>1008</v>
      </c>
      <c r="AQ573">
        <v>0</v>
      </c>
      <c r="AR573">
        <v>0</v>
      </c>
      <c r="BA573">
        <v>1008</v>
      </c>
      <c r="BB573" s="1">
        <v>44978</v>
      </c>
    </row>
    <row r="574" spans="1:54" x14ac:dyDescent="0.25">
      <c r="A574">
        <v>2023</v>
      </c>
      <c r="B574">
        <v>223</v>
      </c>
      <c r="C574" s="1">
        <v>44978</v>
      </c>
      <c r="D574">
        <v>2023</v>
      </c>
      <c r="E574">
        <v>2023</v>
      </c>
      <c r="F574">
        <v>8</v>
      </c>
      <c r="H574" t="s">
        <v>112</v>
      </c>
      <c r="I574">
        <v>440</v>
      </c>
      <c r="J574">
        <v>0</v>
      </c>
      <c r="K574" t="s">
        <v>113</v>
      </c>
      <c r="S574" t="str">
        <f t="shared" si="57"/>
        <v>30</v>
      </c>
      <c r="T574" t="s">
        <v>78</v>
      </c>
      <c r="W574" t="s">
        <v>879</v>
      </c>
      <c r="Y574">
        <v>4045</v>
      </c>
      <c r="Z574" t="s">
        <v>115</v>
      </c>
      <c r="AB574" t="str">
        <f>"03951740269"</f>
        <v>03951740269</v>
      </c>
      <c r="AC574" t="s">
        <v>116</v>
      </c>
      <c r="AD574" t="s">
        <v>117</v>
      </c>
      <c r="AP574">
        <v>305</v>
      </c>
      <c r="AQ574">
        <v>0</v>
      </c>
      <c r="AR574">
        <v>0</v>
      </c>
      <c r="BA574">
        <v>305</v>
      </c>
      <c r="BB574" s="1">
        <v>44978</v>
      </c>
    </row>
    <row r="575" spans="1:54" x14ac:dyDescent="0.25">
      <c r="A575">
        <v>2023</v>
      </c>
      <c r="B575">
        <v>224</v>
      </c>
      <c r="C575" s="1">
        <v>44978</v>
      </c>
      <c r="D575">
        <v>2023</v>
      </c>
      <c r="E575">
        <v>2022</v>
      </c>
      <c r="F575">
        <v>605</v>
      </c>
      <c r="H575" t="s">
        <v>880</v>
      </c>
      <c r="I575">
        <v>470</v>
      </c>
      <c r="J575">
        <v>0</v>
      </c>
      <c r="K575" t="s">
        <v>154</v>
      </c>
      <c r="S575" t="str">
        <f t="shared" si="57"/>
        <v>30</v>
      </c>
      <c r="T575" t="s">
        <v>78</v>
      </c>
      <c r="W575" t="s">
        <v>881</v>
      </c>
      <c r="Y575">
        <v>1690</v>
      </c>
      <c r="Z575" t="s">
        <v>882</v>
      </c>
      <c r="AB575" t="str">
        <f>"03129420273"</f>
        <v>03129420273</v>
      </c>
      <c r="AC575" t="s">
        <v>116</v>
      </c>
      <c r="AD575" t="s">
        <v>883</v>
      </c>
      <c r="AP575">
        <v>21.4</v>
      </c>
      <c r="AQ575">
        <v>0</v>
      </c>
      <c r="AR575">
        <v>0</v>
      </c>
      <c r="BA575">
        <v>21.4</v>
      </c>
      <c r="BB575" s="1">
        <v>44978</v>
      </c>
    </row>
    <row r="576" spans="1:54" x14ac:dyDescent="0.25">
      <c r="A576">
        <v>2023</v>
      </c>
      <c r="B576">
        <v>225</v>
      </c>
      <c r="C576" s="1">
        <v>44978</v>
      </c>
      <c r="D576">
        <v>2023</v>
      </c>
      <c r="E576">
        <v>2022</v>
      </c>
      <c r="F576">
        <v>533</v>
      </c>
      <c r="H576" t="s">
        <v>884</v>
      </c>
      <c r="I576">
        <v>120</v>
      </c>
      <c r="J576">
        <v>0</v>
      </c>
      <c r="K576" t="s">
        <v>120</v>
      </c>
      <c r="R576" t="s">
        <v>885</v>
      </c>
      <c r="W576" t="s">
        <v>886</v>
      </c>
      <c r="Y576">
        <v>821</v>
      </c>
      <c r="Z576" t="s">
        <v>887</v>
      </c>
      <c r="AB576" t="str">
        <f>"02709960278"</f>
        <v>02709960278</v>
      </c>
      <c r="AC576" t="s">
        <v>116</v>
      </c>
      <c r="AD576" t="s">
        <v>888</v>
      </c>
      <c r="AF576">
        <v>2022</v>
      </c>
      <c r="AG576">
        <v>3683</v>
      </c>
      <c r="AH576" t="str">
        <f>"1"</f>
        <v>1</v>
      </c>
      <c r="AI576" t="str">
        <f>"600006"</f>
        <v>600006</v>
      </c>
      <c r="AJ576" s="1">
        <v>44872</v>
      </c>
      <c r="AK576" t="s">
        <v>889</v>
      </c>
      <c r="AL576">
        <v>296.86</v>
      </c>
      <c r="AM576" t="str">
        <f>"8539668414"</f>
        <v>8539668414</v>
      </c>
      <c r="AN576">
        <v>2023</v>
      </c>
      <c r="AO576">
        <v>219</v>
      </c>
      <c r="AP576">
        <v>130.57</v>
      </c>
      <c r="AQ576">
        <v>0</v>
      </c>
      <c r="AR576">
        <v>53.53</v>
      </c>
      <c r="AS576" t="s">
        <v>177</v>
      </c>
      <c r="AT576">
        <v>243.33</v>
      </c>
      <c r="AU576">
        <v>53.53</v>
      </c>
      <c r="AV576">
        <v>2023</v>
      </c>
      <c r="AW576">
        <v>92</v>
      </c>
      <c r="AX576">
        <v>670</v>
      </c>
      <c r="AY576">
        <v>0</v>
      </c>
      <c r="AZ576" t="s">
        <v>890</v>
      </c>
      <c r="BA576">
        <v>130.57</v>
      </c>
      <c r="BB576" s="1">
        <v>44978</v>
      </c>
    </row>
    <row r="577" spans="1:54" x14ac:dyDescent="0.25">
      <c r="A577">
        <v>2023</v>
      </c>
      <c r="B577">
        <v>226</v>
      </c>
      <c r="C577" s="1">
        <v>44978</v>
      </c>
      <c r="D577">
        <v>2023</v>
      </c>
      <c r="E577">
        <v>2023</v>
      </c>
      <c r="F577">
        <v>91</v>
      </c>
      <c r="H577" t="s">
        <v>891</v>
      </c>
      <c r="I577">
        <v>120</v>
      </c>
      <c r="J577">
        <v>0</v>
      </c>
      <c r="K577" t="s">
        <v>120</v>
      </c>
      <c r="R577" t="s">
        <v>892</v>
      </c>
      <c r="S577" t="str">
        <f>"31"</f>
        <v>31</v>
      </c>
      <c r="T577" t="s">
        <v>122</v>
      </c>
      <c r="W577" t="s">
        <v>893</v>
      </c>
      <c r="Y577">
        <v>821</v>
      </c>
      <c r="Z577" t="s">
        <v>887</v>
      </c>
      <c r="AB577" t="str">
        <f>"02709960278"</f>
        <v>02709960278</v>
      </c>
      <c r="AC577" t="s">
        <v>116</v>
      </c>
      <c r="AD577" t="s">
        <v>888</v>
      </c>
      <c r="AF577">
        <v>2022</v>
      </c>
      <c r="AG577">
        <v>3683</v>
      </c>
      <c r="AH577" t="str">
        <f>"1"</f>
        <v>1</v>
      </c>
      <c r="AI577" t="str">
        <f>"600006"</f>
        <v>600006</v>
      </c>
      <c r="AJ577" s="1">
        <v>44872</v>
      </c>
      <c r="AK577" t="s">
        <v>889</v>
      </c>
      <c r="AL577">
        <v>296.86</v>
      </c>
      <c r="AM577" t="str">
        <f>"8539668414"</f>
        <v>8539668414</v>
      </c>
      <c r="AN577">
        <v>2023</v>
      </c>
      <c r="AO577">
        <v>220</v>
      </c>
      <c r="AP577">
        <v>166.29</v>
      </c>
      <c r="AQ577">
        <v>0</v>
      </c>
      <c r="AR577">
        <v>0</v>
      </c>
      <c r="BA577">
        <v>166.29</v>
      </c>
      <c r="BB577" s="1">
        <v>44978</v>
      </c>
    </row>
    <row r="578" spans="1:54" x14ac:dyDescent="0.25">
      <c r="A578">
        <v>2023</v>
      </c>
      <c r="B578">
        <v>227</v>
      </c>
      <c r="C578" s="1">
        <v>44980</v>
      </c>
      <c r="D578">
        <v>2023</v>
      </c>
      <c r="E578">
        <v>2023</v>
      </c>
      <c r="F578">
        <v>30</v>
      </c>
      <c r="H578" t="s">
        <v>204</v>
      </c>
      <c r="I578">
        <v>155</v>
      </c>
      <c r="J578">
        <v>0</v>
      </c>
      <c r="K578" t="s">
        <v>205</v>
      </c>
      <c r="S578" t="str">
        <f>"33"</f>
        <v>33</v>
      </c>
      <c r="T578" t="s">
        <v>64</v>
      </c>
      <c r="W578" t="s">
        <v>894</v>
      </c>
      <c r="Y578">
        <v>2567</v>
      </c>
      <c r="Z578" t="s">
        <v>207</v>
      </c>
      <c r="AB578" t="str">
        <f>"00884060526"</f>
        <v>00884060526</v>
      </c>
      <c r="AC578" t="s">
        <v>116</v>
      </c>
      <c r="AD578" t="s">
        <v>208</v>
      </c>
      <c r="AP578" s="2">
        <v>16394</v>
      </c>
      <c r="AQ578">
        <v>0</v>
      </c>
      <c r="AR578">
        <v>0</v>
      </c>
      <c r="BA578">
        <v>16394</v>
      </c>
      <c r="BB578" s="1">
        <v>44980</v>
      </c>
    </row>
    <row r="579" spans="1:54" x14ac:dyDescent="0.25">
      <c r="A579">
        <v>2023</v>
      </c>
      <c r="B579">
        <v>228</v>
      </c>
      <c r="C579" s="1">
        <v>44980</v>
      </c>
      <c r="D579">
        <v>2023</v>
      </c>
      <c r="E579">
        <v>2022</v>
      </c>
      <c r="F579">
        <v>746</v>
      </c>
      <c r="H579" t="s">
        <v>209</v>
      </c>
      <c r="I579">
        <v>300</v>
      </c>
      <c r="J579">
        <v>0</v>
      </c>
      <c r="K579" t="s">
        <v>210</v>
      </c>
      <c r="S579" t="str">
        <f>"33"</f>
        <v>33</v>
      </c>
      <c r="T579" t="s">
        <v>64</v>
      </c>
      <c r="W579" t="s">
        <v>895</v>
      </c>
      <c r="Y579">
        <v>2567</v>
      </c>
      <c r="Z579" t="s">
        <v>207</v>
      </c>
      <c r="AB579" t="str">
        <f>"00884060526"</f>
        <v>00884060526</v>
      </c>
      <c r="AC579" t="s">
        <v>116</v>
      </c>
      <c r="AD579" t="s">
        <v>208</v>
      </c>
      <c r="AP579" s="2">
        <v>357142.85</v>
      </c>
      <c r="AQ579">
        <v>0</v>
      </c>
      <c r="AR579">
        <v>0</v>
      </c>
      <c r="BA579">
        <v>357142.85</v>
      </c>
      <c r="BB579" s="1">
        <v>44980</v>
      </c>
    </row>
    <row r="580" spans="1:54" x14ac:dyDescent="0.25">
      <c r="A580">
        <v>2023</v>
      </c>
      <c r="B580">
        <v>229</v>
      </c>
      <c r="C580" s="1">
        <v>44980</v>
      </c>
      <c r="D580">
        <v>2023</v>
      </c>
      <c r="E580">
        <v>2023</v>
      </c>
      <c r="F580">
        <v>28</v>
      </c>
      <c r="H580" t="s">
        <v>798</v>
      </c>
      <c r="I580">
        <v>116</v>
      </c>
      <c r="J580">
        <v>0</v>
      </c>
      <c r="K580" t="s">
        <v>90</v>
      </c>
      <c r="S580" t="str">
        <f t="shared" ref="S580:S593" si="58">"30"</f>
        <v>30</v>
      </c>
      <c r="T580" t="s">
        <v>78</v>
      </c>
      <c r="W580" t="s">
        <v>896</v>
      </c>
      <c r="Y580">
        <v>749</v>
      </c>
      <c r="Z580" t="s">
        <v>897</v>
      </c>
      <c r="AB580" t="str">
        <f>"97064710581"</f>
        <v>97064710581</v>
      </c>
      <c r="AC580" t="s">
        <v>60</v>
      </c>
      <c r="AP580" s="2">
        <v>4774</v>
      </c>
      <c r="AQ580">
        <v>0</v>
      </c>
      <c r="AR580">
        <v>0</v>
      </c>
      <c r="BA580">
        <v>4774</v>
      </c>
      <c r="BB580" s="1">
        <v>44980</v>
      </c>
    </row>
    <row r="581" spans="1:54" x14ac:dyDescent="0.25">
      <c r="A581">
        <v>2023</v>
      </c>
      <c r="B581">
        <v>230</v>
      </c>
      <c r="C581" s="1">
        <v>44980</v>
      </c>
      <c r="D581">
        <v>2023</v>
      </c>
      <c r="E581">
        <v>2023</v>
      </c>
      <c r="F581">
        <v>66</v>
      </c>
      <c r="H581" t="s">
        <v>482</v>
      </c>
      <c r="I581">
        <v>400</v>
      </c>
      <c r="J581">
        <v>0</v>
      </c>
      <c r="K581" t="s">
        <v>95</v>
      </c>
      <c r="S581" t="str">
        <f t="shared" si="58"/>
        <v>30</v>
      </c>
      <c r="T581" t="s">
        <v>78</v>
      </c>
      <c r="W581" t="s">
        <v>896</v>
      </c>
      <c r="Y581">
        <v>749</v>
      </c>
      <c r="Z581" t="s">
        <v>897</v>
      </c>
      <c r="AB581" t="str">
        <f>"97064710581"</f>
        <v>97064710581</v>
      </c>
      <c r="AC581" t="s">
        <v>60</v>
      </c>
      <c r="AP581" s="2">
        <v>4774</v>
      </c>
      <c r="AQ581">
        <v>0</v>
      </c>
      <c r="AR581">
        <v>0</v>
      </c>
      <c r="BA581">
        <v>4774</v>
      </c>
      <c r="BB581" s="1">
        <v>44980</v>
      </c>
    </row>
    <row r="582" spans="1:54" x14ac:dyDescent="0.25">
      <c r="A582">
        <v>2023</v>
      </c>
      <c r="B582">
        <v>231</v>
      </c>
      <c r="C582" s="1">
        <v>44980</v>
      </c>
      <c r="D582">
        <v>2023</v>
      </c>
      <c r="E582">
        <v>2023</v>
      </c>
      <c r="F582">
        <v>28</v>
      </c>
      <c r="H582" t="s">
        <v>798</v>
      </c>
      <c r="I582">
        <v>116</v>
      </c>
      <c r="J582">
        <v>0</v>
      </c>
      <c r="K582" t="s">
        <v>90</v>
      </c>
      <c r="S582" t="str">
        <f t="shared" si="58"/>
        <v>30</v>
      </c>
      <c r="T582" t="s">
        <v>78</v>
      </c>
      <c r="W582" t="s">
        <v>898</v>
      </c>
      <c r="Y582">
        <v>1225</v>
      </c>
      <c r="Z582" t="s">
        <v>899</v>
      </c>
      <c r="AB582" t="str">
        <f>"97076780580"</f>
        <v>97076780580</v>
      </c>
      <c r="AC582" t="s">
        <v>60</v>
      </c>
      <c r="AP582" s="2">
        <v>5445</v>
      </c>
      <c r="AQ582">
        <v>0</v>
      </c>
      <c r="AR582">
        <v>0</v>
      </c>
      <c r="BA582">
        <v>5445</v>
      </c>
      <c r="BB582" s="1">
        <v>44980</v>
      </c>
    </row>
    <row r="583" spans="1:54" x14ac:dyDescent="0.25">
      <c r="A583">
        <v>2023</v>
      </c>
      <c r="B583">
        <v>232</v>
      </c>
      <c r="C583" s="1">
        <v>44980</v>
      </c>
      <c r="D583">
        <v>2023</v>
      </c>
      <c r="E583">
        <v>2023</v>
      </c>
      <c r="F583">
        <v>66</v>
      </c>
      <c r="H583" t="s">
        <v>482</v>
      </c>
      <c r="I583">
        <v>400</v>
      </c>
      <c r="J583">
        <v>0</v>
      </c>
      <c r="K583" t="s">
        <v>95</v>
      </c>
      <c r="S583" t="str">
        <f t="shared" si="58"/>
        <v>30</v>
      </c>
      <c r="T583" t="s">
        <v>78</v>
      </c>
      <c r="W583" t="s">
        <v>898</v>
      </c>
      <c r="Y583">
        <v>1225</v>
      </c>
      <c r="Z583" t="s">
        <v>899</v>
      </c>
      <c r="AB583" t="str">
        <f>"97076780580"</f>
        <v>97076780580</v>
      </c>
      <c r="AC583" t="s">
        <v>60</v>
      </c>
      <c r="AP583" s="2">
        <v>1874</v>
      </c>
      <c r="AQ583">
        <v>0</v>
      </c>
      <c r="AR583">
        <v>0</v>
      </c>
      <c r="BA583">
        <v>1874</v>
      </c>
      <c r="BB583" s="1">
        <v>44980</v>
      </c>
    </row>
    <row r="584" spans="1:54" x14ac:dyDescent="0.25">
      <c r="A584">
        <v>2023</v>
      </c>
      <c r="B584">
        <v>233</v>
      </c>
      <c r="C584" s="1">
        <v>44980</v>
      </c>
      <c r="D584">
        <v>2023</v>
      </c>
      <c r="E584">
        <v>2023</v>
      </c>
      <c r="F584">
        <v>26</v>
      </c>
      <c r="H584" t="s">
        <v>212</v>
      </c>
      <c r="I584">
        <v>110</v>
      </c>
      <c r="J584">
        <v>0</v>
      </c>
      <c r="K584" t="s">
        <v>213</v>
      </c>
      <c r="S584" t="str">
        <f t="shared" si="58"/>
        <v>30</v>
      </c>
      <c r="T584" t="s">
        <v>78</v>
      </c>
      <c r="W584" t="s">
        <v>900</v>
      </c>
      <c r="Y584">
        <v>1743</v>
      </c>
      <c r="Z584" t="s">
        <v>215</v>
      </c>
      <c r="AC584" t="s">
        <v>103</v>
      </c>
      <c r="AP584" s="2">
        <v>173206.73</v>
      </c>
      <c r="AQ584">
        <v>0</v>
      </c>
      <c r="AR584">
        <v>0</v>
      </c>
      <c r="BA584">
        <v>173206.73</v>
      </c>
      <c r="BB584" s="1">
        <v>44980</v>
      </c>
    </row>
    <row r="585" spans="1:54" x14ac:dyDescent="0.25">
      <c r="A585">
        <v>2023</v>
      </c>
      <c r="B585">
        <v>234</v>
      </c>
      <c r="C585" s="1">
        <v>44980</v>
      </c>
      <c r="D585">
        <v>2023</v>
      </c>
      <c r="E585">
        <v>2023</v>
      </c>
      <c r="F585">
        <v>26</v>
      </c>
      <c r="H585" t="s">
        <v>212</v>
      </c>
      <c r="I585">
        <v>110</v>
      </c>
      <c r="J585">
        <v>0</v>
      </c>
      <c r="K585" t="s">
        <v>213</v>
      </c>
      <c r="S585" t="str">
        <f t="shared" si="58"/>
        <v>30</v>
      </c>
      <c r="T585" t="s">
        <v>78</v>
      </c>
      <c r="W585" t="s">
        <v>900</v>
      </c>
      <c r="Y585">
        <v>1743</v>
      </c>
      <c r="Z585" t="s">
        <v>215</v>
      </c>
      <c r="AC585" t="s">
        <v>103</v>
      </c>
      <c r="AP585" s="2">
        <v>8621.16</v>
      </c>
      <c r="AQ585">
        <v>0</v>
      </c>
      <c r="AR585">
        <v>0</v>
      </c>
      <c r="BA585">
        <v>8621.16</v>
      </c>
      <c r="BB585" s="1">
        <v>44980</v>
      </c>
    </row>
    <row r="586" spans="1:54" x14ac:dyDescent="0.25">
      <c r="A586">
        <v>2023</v>
      </c>
      <c r="B586">
        <v>235</v>
      </c>
      <c r="C586" s="1">
        <v>44980</v>
      </c>
      <c r="D586">
        <v>2023</v>
      </c>
      <c r="E586">
        <v>2023</v>
      </c>
      <c r="F586">
        <v>26</v>
      </c>
      <c r="H586" t="s">
        <v>212</v>
      </c>
      <c r="I586">
        <v>110</v>
      </c>
      <c r="J586">
        <v>0</v>
      </c>
      <c r="K586" t="s">
        <v>213</v>
      </c>
      <c r="S586" t="str">
        <f t="shared" si="58"/>
        <v>30</v>
      </c>
      <c r="T586" t="s">
        <v>78</v>
      </c>
      <c r="W586" t="s">
        <v>900</v>
      </c>
      <c r="Y586">
        <v>1743</v>
      </c>
      <c r="Z586" t="s">
        <v>215</v>
      </c>
      <c r="AC586" t="s">
        <v>60</v>
      </c>
      <c r="AP586" s="2">
        <v>83318.759999999995</v>
      </c>
      <c r="AQ586">
        <v>0</v>
      </c>
      <c r="AR586" s="2">
        <v>83318.759999999995</v>
      </c>
      <c r="BA586">
        <v>83318.759999999995</v>
      </c>
      <c r="BB586" s="1">
        <v>44980</v>
      </c>
    </row>
    <row r="587" spans="1:54" x14ac:dyDescent="0.25">
      <c r="A587">
        <v>2023</v>
      </c>
      <c r="B587">
        <v>236</v>
      </c>
      <c r="C587" s="1">
        <v>44980</v>
      </c>
      <c r="D587">
        <v>2023</v>
      </c>
      <c r="E587">
        <v>2022</v>
      </c>
      <c r="F587">
        <v>306</v>
      </c>
      <c r="H587" t="s">
        <v>216</v>
      </c>
      <c r="I587">
        <v>115</v>
      </c>
      <c r="J587">
        <v>0</v>
      </c>
      <c r="K587" t="s">
        <v>217</v>
      </c>
      <c r="S587" t="str">
        <f t="shared" si="58"/>
        <v>30</v>
      </c>
      <c r="T587" t="s">
        <v>78</v>
      </c>
      <c r="W587" t="s">
        <v>218</v>
      </c>
      <c r="Y587">
        <v>1743</v>
      </c>
      <c r="Z587" t="s">
        <v>215</v>
      </c>
      <c r="AC587" t="s">
        <v>103</v>
      </c>
      <c r="AP587" s="2">
        <v>5136</v>
      </c>
      <c r="AQ587">
        <v>0</v>
      </c>
      <c r="AR587">
        <v>0</v>
      </c>
      <c r="BA587">
        <v>5136</v>
      </c>
      <c r="BB587" s="1">
        <v>44980</v>
      </c>
    </row>
    <row r="588" spans="1:54" x14ac:dyDescent="0.25">
      <c r="A588">
        <v>2023</v>
      </c>
      <c r="B588">
        <v>237</v>
      </c>
      <c r="C588" s="1">
        <v>44980</v>
      </c>
      <c r="D588">
        <v>2023</v>
      </c>
      <c r="E588">
        <v>2023</v>
      </c>
      <c r="F588">
        <v>40</v>
      </c>
      <c r="H588" t="s">
        <v>222</v>
      </c>
      <c r="I588">
        <v>470</v>
      </c>
      <c r="J588">
        <v>0</v>
      </c>
      <c r="K588" t="s">
        <v>154</v>
      </c>
      <c r="S588" t="str">
        <f t="shared" si="58"/>
        <v>30</v>
      </c>
      <c r="T588" t="s">
        <v>78</v>
      </c>
      <c r="W588" t="s">
        <v>901</v>
      </c>
      <c r="Y588">
        <v>1743</v>
      </c>
      <c r="Z588" t="s">
        <v>215</v>
      </c>
      <c r="AC588" t="s">
        <v>103</v>
      </c>
      <c r="AP588" s="2">
        <v>7914.4</v>
      </c>
      <c r="AQ588">
        <v>0</v>
      </c>
      <c r="AR588">
        <v>0</v>
      </c>
      <c r="BA588">
        <v>7914.4</v>
      </c>
      <c r="BB588" s="1">
        <v>44980</v>
      </c>
    </row>
    <row r="589" spans="1:54" x14ac:dyDescent="0.25">
      <c r="A589">
        <v>2023</v>
      </c>
      <c r="B589">
        <v>238</v>
      </c>
      <c r="C589" s="1">
        <v>44980</v>
      </c>
      <c r="D589">
        <v>2023</v>
      </c>
      <c r="E589">
        <v>2023</v>
      </c>
      <c r="F589">
        <v>27</v>
      </c>
      <c r="H589" t="s">
        <v>902</v>
      </c>
      <c r="I589">
        <v>112</v>
      </c>
      <c r="J589">
        <v>0</v>
      </c>
      <c r="K589" t="s">
        <v>220</v>
      </c>
      <c r="S589" t="str">
        <f t="shared" si="58"/>
        <v>30</v>
      </c>
      <c r="T589" t="s">
        <v>78</v>
      </c>
      <c r="W589" t="s">
        <v>903</v>
      </c>
      <c r="Y589">
        <v>1743</v>
      </c>
      <c r="Z589" t="s">
        <v>215</v>
      </c>
      <c r="AC589" t="s">
        <v>103</v>
      </c>
      <c r="AP589" s="2">
        <v>1088.94</v>
      </c>
      <c r="AQ589">
        <v>0</v>
      </c>
      <c r="AR589">
        <v>0</v>
      </c>
      <c r="BA589">
        <v>1088.94</v>
      </c>
      <c r="BB589" s="1">
        <v>44980</v>
      </c>
    </row>
    <row r="590" spans="1:54" x14ac:dyDescent="0.25">
      <c r="A590">
        <v>2023</v>
      </c>
      <c r="B590">
        <v>239</v>
      </c>
      <c r="C590" s="1">
        <v>44980</v>
      </c>
      <c r="D590">
        <v>2023</v>
      </c>
      <c r="E590">
        <v>2023</v>
      </c>
      <c r="F590">
        <v>40</v>
      </c>
      <c r="H590" t="s">
        <v>222</v>
      </c>
      <c r="I590">
        <v>470</v>
      </c>
      <c r="J590">
        <v>0</v>
      </c>
      <c r="K590" t="s">
        <v>154</v>
      </c>
      <c r="S590" t="str">
        <f t="shared" si="58"/>
        <v>30</v>
      </c>
      <c r="T590" t="s">
        <v>78</v>
      </c>
      <c r="W590" t="s">
        <v>904</v>
      </c>
      <c r="Y590">
        <v>1743</v>
      </c>
      <c r="Z590" t="s">
        <v>215</v>
      </c>
      <c r="AC590" t="s">
        <v>103</v>
      </c>
      <c r="AP590" s="2">
        <v>3981.2</v>
      </c>
      <c r="AQ590">
        <v>0</v>
      </c>
      <c r="AR590">
        <v>0</v>
      </c>
      <c r="BA590">
        <v>3981.2</v>
      </c>
      <c r="BB590" s="1">
        <v>44980</v>
      </c>
    </row>
    <row r="591" spans="1:54" x14ac:dyDescent="0.25">
      <c r="A591">
        <v>2023</v>
      </c>
      <c r="B591">
        <v>240</v>
      </c>
      <c r="C591" s="1">
        <v>44980</v>
      </c>
      <c r="D591">
        <v>2023</v>
      </c>
      <c r="E591">
        <v>2023</v>
      </c>
      <c r="F591">
        <v>38</v>
      </c>
      <c r="H591" t="s">
        <v>224</v>
      </c>
      <c r="I591">
        <v>100</v>
      </c>
      <c r="J591">
        <v>0</v>
      </c>
      <c r="K591" t="s">
        <v>77</v>
      </c>
      <c r="S591" t="str">
        <f t="shared" si="58"/>
        <v>30</v>
      </c>
      <c r="T591" t="s">
        <v>78</v>
      </c>
      <c r="W591" t="s">
        <v>905</v>
      </c>
      <c r="Y591">
        <v>190</v>
      </c>
      <c r="Z591" t="s">
        <v>226</v>
      </c>
      <c r="AC591" t="s">
        <v>103</v>
      </c>
      <c r="AP591" s="2">
        <v>1839.96</v>
      </c>
      <c r="AQ591">
        <v>0</v>
      </c>
      <c r="AR591">
        <v>0</v>
      </c>
      <c r="BA591">
        <v>1839.96</v>
      </c>
      <c r="BB591" s="1">
        <v>44980</v>
      </c>
    </row>
    <row r="592" spans="1:54" x14ac:dyDescent="0.25">
      <c r="A592">
        <v>2023</v>
      </c>
      <c r="B592">
        <v>241</v>
      </c>
      <c r="C592" s="1">
        <v>44980</v>
      </c>
      <c r="D592">
        <v>2023</v>
      </c>
      <c r="E592">
        <v>2023</v>
      </c>
      <c r="F592">
        <v>38</v>
      </c>
      <c r="H592" t="s">
        <v>224</v>
      </c>
      <c r="I592">
        <v>100</v>
      </c>
      <c r="J592">
        <v>0</v>
      </c>
      <c r="K592" t="s">
        <v>77</v>
      </c>
      <c r="S592" t="str">
        <f t="shared" si="58"/>
        <v>30</v>
      </c>
      <c r="T592" t="s">
        <v>78</v>
      </c>
      <c r="W592" t="s">
        <v>905</v>
      </c>
      <c r="Y592">
        <v>190</v>
      </c>
      <c r="Z592" t="s">
        <v>226</v>
      </c>
      <c r="AC592" t="s">
        <v>60</v>
      </c>
      <c r="AP592">
        <v>960.04</v>
      </c>
      <c r="AQ592">
        <v>0</v>
      </c>
      <c r="AR592">
        <v>960.04</v>
      </c>
      <c r="BA592">
        <v>960.04</v>
      </c>
      <c r="BB592" s="1">
        <v>44980</v>
      </c>
    </row>
    <row r="593" spans="1:54" x14ac:dyDescent="0.25">
      <c r="A593">
        <v>2023</v>
      </c>
      <c r="B593">
        <v>242</v>
      </c>
      <c r="C593" s="1">
        <v>44980</v>
      </c>
      <c r="D593">
        <v>2023</v>
      </c>
      <c r="E593">
        <v>2022</v>
      </c>
      <c r="F593">
        <v>14</v>
      </c>
      <c r="H593" t="s">
        <v>906</v>
      </c>
      <c r="I593">
        <v>100</v>
      </c>
      <c r="J593">
        <v>0</v>
      </c>
      <c r="K593" t="s">
        <v>77</v>
      </c>
      <c r="S593" t="str">
        <f t="shared" si="58"/>
        <v>30</v>
      </c>
      <c r="T593" t="s">
        <v>78</v>
      </c>
      <c r="W593" t="s">
        <v>907</v>
      </c>
      <c r="Y593">
        <v>190</v>
      </c>
      <c r="Z593" t="s">
        <v>226</v>
      </c>
      <c r="AC593" t="s">
        <v>103</v>
      </c>
      <c r="AP593" s="2">
        <v>6000</v>
      </c>
      <c r="AQ593">
        <v>0</v>
      </c>
      <c r="AR593">
        <v>0</v>
      </c>
      <c r="BA593">
        <v>6000</v>
      </c>
      <c r="BB593" s="1">
        <v>44980</v>
      </c>
    </row>
    <row r="594" spans="1:54" x14ac:dyDescent="0.25">
      <c r="A594">
        <v>2023</v>
      </c>
      <c r="B594">
        <v>243</v>
      </c>
      <c r="C594" s="1">
        <v>44980</v>
      </c>
      <c r="D594">
        <v>2023</v>
      </c>
      <c r="E594">
        <v>2022</v>
      </c>
      <c r="F594">
        <v>23</v>
      </c>
      <c r="H594" t="s">
        <v>228</v>
      </c>
      <c r="I594">
        <v>104</v>
      </c>
      <c r="J594">
        <v>0</v>
      </c>
      <c r="K594" t="s">
        <v>229</v>
      </c>
      <c r="S594" t="str">
        <f>"31"</f>
        <v>31</v>
      </c>
      <c r="T594" t="s">
        <v>122</v>
      </c>
      <c r="W594" t="s">
        <v>907</v>
      </c>
      <c r="Y594">
        <v>190</v>
      </c>
      <c r="Z594" t="s">
        <v>226</v>
      </c>
      <c r="AC594" t="s">
        <v>103</v>
      </c>
      <c r="AP594" s="2">
        <v>2279.0300000000002</v>
      </c>
      <c r="AQ594">
        <v>0</v>
      </c>
      <c r="AR594">
        <v>0</v>
      </c>
      <c r="BA594">
        <v>2279.0300000000002</v>
      </c>
      <c r="BB594" s="1">
        <v>44980</v>
      </c>
    </row>
    <row r="595" spans="1:54" x14ac:dyDescent="0.25">
      <c r="A595">
        <v>2023</v>
      </c>
      <c r="B595">
        <v>244</v>
      </c>
      <c r="C595" s="1">
        <v>44980</v>
      </c>
      <c r="D595">
        <v>2023</v>
      </c>
      <c r="E595">
        <v>2022</v>
      </c>
      <c r="F595">
        <v>23</v>
      </c>
      <c r="H595" t="s">
        <v>228</v>
      </c>
      <c r="I595">
        <v>104</v>
      </c>
      <c r="J595">
        <v>0</v>
      </c>
      <c r="K595" t="s">
        <v>229</v>
      </c>
      <c r="S595" t="str">
        <f>"31"</f>
        <v>31</v>
      </c>
      <c r="T595" t="s">
        <v>122</v>
      </c>
      <c r="W595" t="s">
        <v>907</v>
      </c>
      <c r="Y595">
        <v>190</v>
      </c>
      <c r="Z595" t="s">
        <v>226</v>
      </c>
      <c r="AC595" t="s">
        <v>60</v>
      </c>
      <c r="AP595" s="2">
        <v>3407.95</v>
      </c>
      <c r="AQ595">
        <v>0</v>
      </c>
      <c r="AR595" s="2">
        <v>3407.95</v>
      </c>
      <c r="BA595">
        <v>3407.95</v>
      </c>
      <c r="BB595" s="1">
        <v>44980</v>
      </c>
    </row>
    <row r="596" spans="1:54" x14ac:dyDescent="0.25">
      <c r="A596">
        <v>2023</v>
      </c>
      <c r="B596">
        <v>245</v>
      </c>
      <c r="C596" s="1">
        <v>44980</v>
      </c>
      <c r="D596">
        <v>2023</v>
      </c>
      <c r="E596">
        <v>2021</v>
      </c>
      <c r="F596">
        <v>437</v>
      </c>
      <c r="H596" t="s">
        <v>908</v>
      </c>
      <c r="I596">
        <v>250</v>
      </c>
      <c r="J596">
        <v>0</v>
      </c>
      <c r="K596" t="s">
        <v>306</v>
      </c>
      <c r="R596" t="s">
        <v>909</v>
      </c>
      <c r="W596" t="s">
        <v>910</v>
      </c>
      <c r="Y596">
        <v>1367</v>
      </c>
      <c r="Z596" t="s">
        <v>911</v>
      </c>
      <c r="AA596" t="s">
        <v>912</v>
      </c>
      <c r="AB596" t="s">
        <v>913</v>
      </c>
      <c r="AC596" t="s">
        <v>116</v>
      </c>
      <c r="AD596" t="s">
        <v>914</v>
      </c>
      <c r="AF596">
        <v>2023</v>
      </c>
      <c r="AG596">
        <v>380</v>
      </c>
      <c r="AH596" t="str">
        <f t="shared" ref="AH596:AH638" si="59">"1"</f>
        <v>1</v>
      </c>
      <c r="AI596" t="s">
        <v>915</v>
      </c>
      <c r="AJ596" s="1">
        <v>44970</v>
      </c>
      <c r="AK596" t="s">
        <v>916</v>
      </c>
      <c r="AL596" s="2">
        <v>7612.8</v>
      </c>
      <c r="AM596" t="str">
        <f>"9034329465"</f>
        <v>9034329465</v>
      </c>
      <c r="AN596">
        <v>2023</v>
      </c>
      <c r="AO596">
        <v>261</v>
      </c>
      <c r="AP596" s="2">
        <v>7612.8</v>
      </c>
      <c r="AQ596">
        <v>0</v>
      </c>
      <c r="AR596" s="2">
        <v>1200</v>
      </c>
      <c r="AS596" t="str">
        <f>"1040"</f>
        <v>1040</v>
      </c>
      <c r="AT596">
        <v>6000</v>
      </c>
      <c r="AU596">
        <v>1200</v>
      </c>
      <c r="AV596">
        <v>2023</v>
      </c>
      <c r="AW596">
        <v>103</v>
      </c>
      <c r="AX596">
        <v>620</v>
      </c>
      <c r="AY596">
        <v>0</v>
      </c>
      <c r="AZ596" t="s">
        <v>917</v>
      </c>
      <c r="BA596">
        <v>7612.8</v>
      </c>
      <c r="BB596" s="1">
        <v>44980</v>
      </c>
    </row>
    <row r="597" spans="1:54" x14ac:dyDescent="0.25">
      <c r="A597">
        <v>2023</v>
      </c>
      <c r="B597">
        <v>246</v>
      </c>
      <c r="C597" s="1">
        <v>44980</v>
      </c>
      <c r="D597">
        <v>2023</v>
      </c>
      <c r="E597">
        <v>2021</v>
      </c>
      <c r="F597">
        <v>88</v>
      </c>
      <c r="H597" t="s">
        <v>918</v>
      </c>
      <c r="I597">
        <v>200</v>
      </c>
      <c r="J597">
        <v>0</v>
      </c>
      <c r="K597" t="s">
        <v>293</v>
      </c>
      <c r="R597" t="s">
        <v>919</v>
      </c>
      <c r="S597" t="str">
        <f>"31"</f>
        <v>31</v>
      </c>
      <c r="T597" t="s">
        <v>122</v>
      </c>
      <c r="W597" t="s">
        <v>920</v>
      </c>
      <c r="Y597">
        <v>4210</v>
      </c>
      <c r="Z597" t="s">
        <v>921</v>
      </c>
      <c r="AB597" t="str">
        <f>"01176710323"</f>
        <v>01176710323</v>
      </c>
      <c r="AC597" t="s">
        <v>116</v>
      </c>
      <c r="AD597" t="s">
        <v>922</v>
      </c>
      <c r="AF597">
        <v>2023</v>
      </c>
      <c r="AG597">
        <v>55</v>
      </c>
      <c r="AH597" t="str">
        <f t="shared" si="59"/>
        <v>1</v>
      </c>
      <c r="AI597" t="str">
        <f>"14"</f>
        <v>14</v>
      </c>
      <c r="AJ597" s="1">
        <v>44947</v>
      </c>
      <c r="AK597" t="s">
        <v>920</v>
      </c>
      <c r="AL597" s="2">
        <v>4880</v>
      </c>
      <c r="AM597" t="str">
        <f>"8880335170"</f>
        <v>8880335170</v>
      </c>
      <c r="AN597">
        <v>2023</v>
      </c>
      <c r="AO597">
        <v>263</v>
      </c>
      <c r="AP597" s="2">
        <v>4880</v>
      </c>
      <c r="AQ597">
        <v>0</v>
      </c>
      <c r="AR597">
        <v>880</v>
      </c>
      <c r="AS597" t="s">
        <v>177</v>
      </c>
      <c r="AT597">
        <v>4000</v>
      </c>
      <c r="AU597">
        <v>880</v>
      </c>
      <c r="AV597">
        <v>2023</v>
      </c>
      <c r="AW597">
        <v>104</v>
      </c>
      <c r="AX597">
        <v>670</v>
      </c>
      <c r="AY597">
        <v>0</v>
      </c>
      <c r="AZ597" t="s">
        <v>923</v>
      </c>
      <c r="BA597">
        <v>4880</v>
      </c>
      <c r="BB597" s="1">
        <v>44980</v>
      </c>
    </row>
    <row r="598" spans="1:54" x14ac:dyDescent="0.25">
      <c r="A598">
        <v>2023</v>
      </c>
      <c r="B598">
        <v>247</v>
      </c>
      <c r="C598" s="1">
        <v>44981</v>
      </c>
      <c r="D598">
        <v>2023</v>
      </c>
      <c r="E598">
        <v>2022</v>
      </c>
      <c r="F598">
        <v>471</v>
      </c>
      <c r="H598" t="s">
        <v>924</v>
      </c>
      <c r="I598">
        <v>270</v>
      </c>
      <c r="J598">
        <v>0</v>
      </c>
      <c r="K598" t="s">
        <v>925</v>
      </c>
      <c r="R598" t="s">
        <v>926</v>
      </c>
      <c r="S598" t="str">
        <f>"30"</f>
        <v>30</v>
      </c>
      <c r="T598" t="s">
        <v>78</v>
      </c>
      <c r="W598" t="s">
        <v>927</v>
      </c>
      <c r="Y598">
        <v>1241</v>
      </c>
      <c r="Z598" t="s">
        <v>928</v>
      </c>
      <c r="AB598" t="str">
        <f t="shared" ref="AB598:AB615" si="60">"02325370266"</f>
        <v>02325370266</v>
      </c>
      <c r="AC598" t="s">
        <v>116</v>
      </c>
      <c r="AD598" t="s">
        <v>929</v>
      </c>
      <c r="AF598">
        <v>2023</v>
      </c>
      <c r="AG598">
        <v>284</v>
      </c>
      <c r="AH598" t="str">
        <f t="shared" si="59"/>
        <v>1</v>
      </c>
      <c r="AI598" t="s">
        <v>930</v>
      </c>
      <c r="AJ598" s="1">
        <v>44957</v>
      </c>
      <c r="AK598" t="s">
        <v>927</v>
      </c>
      <c r="AL598">
        <v>207.4</v>
      </c>
      <c r="AM598" t="str">
        <f>"8976143548"</f>
        <v>8976143548</v>
      </c>
      <c r="AN598">
        <v>2023</v>
      </c>
      <c r="AO598">
        <v>159</v>
      </c>
      <c r="AP598">
        <v>207.4</v>
      </c>
      <c r="AQ598">
        <v>0</v>
      </c>
      <c r="AR598">
        <v>37.4</v>
      </c>
      <c r="AS598" t="s">
        <v>177</v>
      </c>
      <c r="AT598">
        <v>170</v>
      </c>
      <c r="AU598">
        <v>37.4</v>
      </c>
      <c r="AV598">
        <v>2023</v>
      </c>
      <c r="AW598">
        <v>105</v>
      </c>
      <c r="AX598">
        <v>670</v>
      </c>
      <c r="AY598">
        <v>0</v>
      </c>
      <c r="AZ598" t="s">
        <v>931</v>
      </c>
      <c r="BA598">
        <v>207.4</v>
      </c>
      <c r="BB598" s="1">
        <v>44981</v>
      </c>
    </row>
    <row r="599" spans="1:54" x14ac:dyDescent="0.25">
      <c r="A599">
        <v>2023</v>
      </c>
      <c r="B599">
        <v>248</v>
      </c>
      <c r="C599" s="1">
        <v>44981</v>
      </c>
      <c r="D599">
        <v>2023</v>
      </c>
      <c r="E599">
        <v>2022</v>
      </c>
      <c r="F599">
        <v>323</v>
      </c>
      <c r="H599" t="s">
        <v>932</v>
      </c>
      <c r="I599">
        <v>149</v>
      </c>
      <c r="J599">
        <v>0</v>
      </c>
      <c r="K599" t="s">
        <v>277</v>
      </c>
      <c r="R599" t="s">
        <v>933</v>
      </c>
      <c r="S599" t="str">
        <f>"30"</f>
        <v>30</v>
      </c>
      <c r="T599" t="s">
        <v>78</v>
      </c>
      <c r="W599" t="s">
        <v>934</v>
      </c>
      <c r="Y599">
        <v>1241</v>
      </c>
      <c r="Z599" t="s">
        <v>928</v>
      </c>
      <c r="AB599" t="str">
        <f t="shared" si="60"/>
        <v>02325370266</v>
      </c>
      <c r="AC599" t="s">
        <v>116</v>
      </c>
      <c r="AD599" t="s">
        <v>929</v>
      </c>
      <c r="AF599">
        <v>2023</v>
      </c>
      <c r="AG599">
        <v>268</v>
      </c>
      <c r="AH599" t="str">
        <f t="shared" si="59"/>
        <v>1</v>
      </c>
      <c r="AI599" t="s">
        <v>935</v>
      </c>
      <c r="AJ599" s="1">
        <v>44950</v>
      </c>
      <c r="AK599" t="s">
        <v>934</v>
      </c>
      <c r="AL599" s="2">
        <v>3840.07</v>
      </c>
      <c r="AM599" t="str">
        <f>"8896883004"</f>
        <v>8896883004</v>
      </c>
      <c r="AN599">
        <v>2023</v>
      </c>
      <c r="AO599">
        <v>160</v>
      </c>
      <c r="AP599" s="2">
        <v>3840.07</v>
      </c>
      <c r="AQ599">
        <v>0</v>
      </c>
      <c r="AR599">
        <v>692.47</v>
      </c>
      <c r="AS599" t="s">
        <v>177</v>
      </c>
      <c r="AT599">
        <v>3147.6</v>
      </c>
      <c r="AU599">
        <v>692.47</v>
      </c>
      <c r="AV599">
        <v>2023</v>
      </c>
      <c r="AW599">
        <v>106</v>
      </c>
      <c r="AX599">
        <v>670</v>
      </c>
      <c r="AY599">
        <v>0</v>
      </c>
      <c r="AZ599" t="s">
        <v>936</v>
      </c>
      <c r="BA599">
        <v>3840.07</v>
      </c>
      <c r="BB599" s="1">
        <v>44981</v>
      </c>
    </row>
    <row r="600" spans="1:54" x14ac:dyDescent="0.25">
      <c r="A600">
        <v>2023</v>
      </c>
      <c r="B600">
        <v>249</v>
      </c>
      <c r="C600" s="1">
        <v>44981</v>
      </c>
      <c r="D600">
        <v>2023</v>
      </c>
      <c r="E600">
        <v>2022</v>
      </c>
      <c r="F600">
        <v>64</v>
      </c>
      <c r="H600" t="s">
        <v>937</v>
      </c>
      <c r="I600">
        <v>270</v>
      </c>
      <c r="J600">
        <v>0</v>
      </c>
      <c r="K600" t="s">
        <v>925</v>
      </c>
      <c r="R600" t="s">
        <v>938</v>
      </c>
      <c r="S600" t="str">
        <f>"30"</f>
        <v>30</v>
      </c>
      <c r="T600" t="s">
        <v>78</v>
      </c>
      <c r="W600" t="s">
        <v>939</v>
      </c>
      <c r="Y600">
        <v>1241</v>
      </c>
      <c r="Z600" t="s">
        <v>928</v>
      </c>
      <c r="AB600" t="str">
        <f t="shared" si="60"/>
        <v>02325370266</v>
      </c>
      <c r="AC600" t="s">
        <v>116</v>
      </c>
      <c r="AD600" t="s">
        <v>929</v>
      </c>
      <c r="AF600">
        <v>2023</v>
      </c>
      <c r="AG600">
        <v>266</v>
      </c>
      <c r="AH600" t="str">
        <f t="shared" si="59"/>
        <v>1</v>
      </c>
      <c r="AI600" t="s">
        <v>940</v>
      </c>
      <c r="AJ600" s="1">
        <v>44950</v>
      </c>
      <c r="AK600" t="s">
        <v>939</v>
      </c>
      <c r="AL600">
        <v>775.92</v>
      </c>
      <c r="AM600" t="str">
        <f>"8896835302"</f>
        <v>8896835302</v>
      </c>
      <c r="AN600">
        <v>2023</v>
      </c>
      <c r="AO600">
        <v>164</v>
      </c>
      <c r="AP600">
        <v>775.92</v>
      </c>
      <c r="AQ600">
        <v>0</v>
      </c>
      <c r="AR600">
        <v>139.91999999999999</v>
      </c>
      <c r="AS600" t="s">
        <v>177</v>
      </c>
      <c r="AT600">
        <v>636</v>
      </c>
      <c r="AU600">
        <v>139.91999999999999</v>
      </c>
      <c r="AV600">
        <v>2023</v>
      </c>
      <c r="AW600">
        <v>107</v>
      </c>
      <c r="AX600">
        <v>670</v>
      </c>
      <c r="AY600">
        <v>0</v>
      </c>
      <c r="AZ600" t="s">
        <v>941</v>
      </c>
      <c r="BA600">
        <v>775.92</v>
      </c>
      <c r="BB600" s="1">
        <v>44981</v>
      </c>
    </row>
    <row r="601" spans="1:54" x14ac:dyDescent="0.25">
      <c r="A601">
        <v>2023</v>
      </c>
      <c r="B601">
        <v>250</v>
      </c>
      <c r="C601" s="1">
        <v>44982</v>
      </c>
      <c r="D601">
        <v>2023</v>
      </c>
      <c r="E601">
        <v>2022</v>
      </c>
      <c r="F601">
        <v>506</v>
      </c>
      <c r="H601" t="s">
        <v>942</v>
      </c>
      <c r="I601">
        <v>270</v>
      </c>
      <c r="J601">
        <v>0</v>
      </c>
      <c r="K601" t="s">
        <v>925</v>
      </c>
      <c r="R601" t="s">
        <v>943</v>
      </c>
      <c r="S601" t="str">
        <f>"30"</f>
        <v>30</v>
      </c>
      <c r="T601" t="s">
        <v>78</v>
      </c>
      <c r="W601" t="s">
        <v>944</v>
      </c>
      <c r="Y601">
        <v>1241</v>
      </c>
      <c r="Z601" t="s">
        <v>928</v>
      </c>
      <c r="AB601" t="str">
        <f t="shared" si="60"/>
        <v>02325370266</v>
      </c>
      <c r="AC601" t="s">
        <v>116</v>
      </c>
      <c r="AD601" t="s">
        <v>929</v>
      </c>
      <c r="AF601">
        <v>2023</v>
      </c>
      <c r="AG601">
        <v>267</v>
      </c>
      <c r="AH601" t="str">
        <f t="shared" si="59"/>
        <v>1</v>
      </c>
      <c r="AI601" t="s">
        <v>945</v>
      </c>
      <c r="AJ601" s="1">
        <v>44950</v>
      </c>
      <c r="AK601" t="s">
        <v>944</v>
      </c>
      <c r="AL601">
        <v>541.67999999999995</v>
      </c>
      <c r="AM601" t="str">
        <f>"8896848710"</f>
        <v>8896848710</v>
      </c>
      <c r="AN601">
        <v>2023</v>
      </c>
      <c r="AO601">
        <v>166</v>
      </c>
      <c r="AP601">
        <v>541.67999999999995</v>
      </c>
      <c r="AQ601">
        <v>0</v>
      </c>
      <c r="AR601">
        <v>97.68</v>
      </c>
      <c r="AS601" t="s">
        <v>177</v>
      </c>
      <c r="AT601">
        <v>444</v>
      </c>
      <c r="AU601">
        <v>97.68</v>
      </c>
      <c r="AV601">
        <v>2023</v>
      </c>
      <c r="AW601">
        <v>108</v>
      </c>
      <c r="AX601">
        <v>670</v>
      </c>
      <c r="AY601">
        <v>0</v>
      </c>
      <c r="AZ601" t="s">
        <v>946</v>
      </c>
      <c r="BA601">
        <v>541.67999999999995</v>
      </c>
      <c r="BB601" s="1">
        <v>44982</v>
      </c>
    </row>
    <row r="602" spans="1:54" x14ac:dyDescent="0.25">
      <c r="A602">
        <v>2023</v>
      </c>
      <c r="B602">
        <v>251</v>
      </c>
      <c r="C602" s="1">
        <v>44982</v>
      </c>
      <c r="D602">
        <v>2023</v>
      </c>
      <c r="E602">
        <v>2022</v>
      </c>
      <c r="F602">
        <v>472</v>
      </c>
      <c r="H602" t="s">
        <v>947</v>
      </c>
      <c r="I602">
        <v>270</v>
      </c>
      <c r="J602">
        <v>0</v>
      </c>
      <c r="K602" t="s">
        <v>925</v>
      </c>
      <c r="R602" t="s">
        <v>948</v>
      </c>
      <c r="S602" t="str">
        <f>"30"</f>
        <v>30</v>
      </c>
      <c r="T602" t="s">
        <v>78</v>
      </c>
      <c r="W602" t="s">
        <v>949</v>
      </c>
      <c r="Y602">
        <v>1241</v>
      </c>
      <c r="Z602" t="s">
        <v>928</v>
      </c>
      <c r="AB602" t="str">
        <f t="shared" si="60"/>
        <v>02325370266</v>
      </c>
      <c r="AC602" t="s">
        <v>116</v>
      </c>
      <c r="AD602" t="s">
        <v>929</v>
      </c>
      <c r="AF602">
        <v>2023</v>
      </c>
      <c r="AG602">
        <v>269</v>
      </c>
      <c r="AH602" t="str">
        <f t="shared" si="59"/>
        <v>1</v>
      </c>
      <c r="AI602" t="s">
        <v>950</v>
      </c>
      <c r="AJ602" s="1">
        <v>44950</v>
      </c>
      <c r="AK602" t="s">
        <v>949</v>
      </c>
      <c r="AL602">
        <v>367.83</v>
      </c>
      <c r="AM602" t="str">
        <f>"8896914721"</f>
        <v>8896914721</v>
      </c>
      <c r="AN602">
        <v>2023</v>
      </c>
      <c r="AO602">
        <v>177</v>
      </c>
      <c r="AP602">
        <v>367.83</v>
      </c>
      <c r="AQ602">
        <v>0</v>
      </c>
      <c r="AR602">
        <v>66.33</v>
      </c>
      <c r="AS602" t="s">
        <v>177</v>
      </c>
      <c r="AT602">
        <v>301.5</v>
      </c>
      <c r="AU602">
        <v>66.33</v>
      </c>
      <c r="AV602">
        <v>2023</v>
      </c>
      <c r="AW602">
        <v>109</v>
      </c>
      <c r="AX602">
        <v>670</v>
      </c>
      <c r="AY602">
        <v>0</v>
      </c>
      <c r="AZ602" t="s">
        <v>951</v>
      </c>
      <c r="BA602">
        <v>367.83</v>
      </c>
      <c r="BB602" s="1">
        <v>44982</v>
      </c>
    </row>
    <row r="603" spans="1:54" x14ac:dyDescent="0.25">
      <c r="A603">
        <v>2023</v>
      </c>
      <c r="B603">
        <v>252</v>
      </c>
      <c r="C603" s="1">
        <v>44982</v>
      </c>
      <c r="D603">
        <v>2023</v>
      </c>
      <c r="E603">
        <v>2018</v>
      </c>
      <c r="F603">
        <v>690</v>
      </c>
      <c r="H603" t="s">
        <v>952</v>
      </c>
      <c r="I603">
        <v>270</v>
      </c>
      <c r="J603">
        <v>0</v>
      </c>
      <c r="K603" t="s">
        <v>925</v>
      </c>
      <c r="R603" t="s">
        <v>953</v>
      </c>
      <c r="S603" t="str">
        <f>"32"</f>
        <v>32</v>
      </c>
      <c r="T603" t="s">
        <v>357</v>
      </c>
      <c r="W603" t="s">
        <v>954</v>
      </c>
      <c r="Y603">
        <v>1241</v>
      </c>
      <c r="Z603" t="s">
        <v>928</v>
      </c>
      <c r="AB603" t="str">
        <f t="shared" si="60"/>
        <v>02325370266</v>
      </c>
      <c r="AC603" t="s">
        <v>116</v>
      </c>
      <c r="AD603" t="s">
        <v>929</v>
      </c>
      <c r="AF603">
        <v>2023</v>
      </c>
      <c r="AG603">
        <v>270</v>
      </c>
      <c r="AH603" t="str">
        <f t="shared" si="59"/>
        <v>1</v>
      </c>
      <c r="AI603" t="s">
        <v>955</v>
      </c>
      <c r="AJ603" s="1">
        <v>44950</v>
      </c>
      <c r="AK603" t="s">
        <v>954</v>
      </c>
      <c r="AL603" s="2">
        <v>1657.98</v>
      </c>
      <c r="AM603" t="str">
        <f>"8896991925"</f>
        <v>8896991925</v>
      </c>
      <c r="AN603">
        <v>2023</v>
      </c>
      <c r="AO603">
        <v>183</v>
      </c>
      <c r="AP603" s="2">
        <v>1657.98</v>
      </c>
      <c r="AQ603">
        <v>0</v>
      </c>
      <c r="AR603">
        <v>298.98</v>
      </c>
      <c r="AS603" t="s">
        <v>177</v>
      </c>
      <c r="AT603">
        <v>1359</v>
      </c>
      <c r="AU603">
        <v>298.98</v>
      </c>
      <c r="AV603">
        <v>2023</v>
      </c>
      <c r="AW603">
        <v>110</v>
      </c>
      <c r="AX603">
        <v>670</v>
      </c>
      <c r="AY603">
        <v>0</v>
      </c>
      <c r="AZ603" t="s">
        <v>956</v>
      </c>
      <c r="BA603">
        <v>1657.98</v>
      </c>
      <c r="BB603" s="1">
        <v>44982</v>
      </c>
    </row>
    <row r="604" spans="1:54" x14ac:dyDescent="0.25">
      <c r="A604">
        <v>2023</v>
      </c>
      <c r="B604">
        <v>253</v>
      </c>
      <c r="C604" s="1">
        <v>44982</v>
      </c>
      <c r="D604">
        <v>2023</v>
      </c>
      <c r="E604">
        <v>2022</v>
      </c>
      <c r="F604">
        <v>475</v>
      </c>
      <c r="H604" t="s">
        <v>957</v>
      </c>
      <c r="I604">
        <v>270</v>
      </c>
      <c r="J604">
        <v>0</v>
      </c>
      <c r="K604" t="s">
        <v>925</v>
      </c>
      <c r="R604" t="s">
        <v>958</v>
      </c>
      <c r="S604" t="str">
        <f>"30"</f>
        <v>30</v>
      </c>
      <c r="T604" t="s">
        <v>78</v>
      </c>
      <c r="W604" t="s">
        <v>959</v>
      </c>
      <c r="Y604">
        <v>1241</v>
      </c>
      <c r="Z604" t="s">
        <v>928</v>
      </c>
      <c r="AB604" t="str">
        <f t="shared" si="60"/>
        <v>02325370266</v>
      </c>
      <c r="AC604" t="s">
        <v>116</v>
      </c>
      <c r="AD604" t="s">
        <v>929</v>
      </c>
      <c r="AF604">
        <v>2023</v>
      </c>
      <c r="AG604">
        <v>271</v>
      </c>
      <c r="AH604" t="str">
        <f t="shared" si="59"/>
        <v>1</v>
      </c>
      <c r="AI604" t="s">
        <v>960</v>
      </c>
      <c r="AJ604" s="1">
        <v>44950</v>
      </c>
      <c r="AK604" t="s">
        <v>961</v>
      </c>
      <c r="AL604">
        <v>329.4</v>
      </c>
      <c r="AM604" t="str">
        <f>"8897007428"</f>
        <v>8897007428</v>
      </c>
      <c r="AN604">
        <v>2023</v>
      </c>
      <c r="AO604">
        <v>195</v>
      </c>
      <c r="AP604">
        <v>247</v>
      </c>
      <c r="AQ604">
        <v>0</v>
      </c>
      <c r="AR604">
        <v>59.4</v>
      </c>
      <c r="AS604" t="s">
        <v>177</v>
      </c>
      <c r="AT604">
        <v>270</v>
      </c>
      <c r="AU604">
        <v>59.4</v>
      </c>
      <c r="AV604">
        <v>2023</v>
      </c>
      <c r="AW604">
        <v>111</v>
      </c>
      <c r="AX604">
        <v>670</v>
      </c>
      <c r="AY604">
        <v>0</v>
      </c>
      <c r="AZ604" t="s">
        <v>962</v>
      </c>
      <c r="BA604">
        <v>247</v>
      </c>
      <c r="BB604" s="1">
        <v>44982</v>
      </c>
    </row>
    <row r="605" spans="1:54" x14ac:dyDescent="0.25">
      <c r="A605">
        <v>2023</v>
      </c>
      <c r="B605">
        <v>254</v>
      </c>
      <c r="C605" s="1">
        <v>44982</v>
      </c>
      <c r="D605">
        <v>2023</v>
      </c>
      <c r="E605">
        <v>2021</v>
      </c>
      <c r="F605">
        <v>426</v>
      </c>
      <c r="H605" t="s">
        <v>963</v>
      </c>
      <c r="I605">
        <v>270</v>
      </c>
      <c r="J605">
        <v>0</v>
      </c>
      <c r="K605" t="s">
        <v>925</v>
      </c>
      <c r="R605" t="s">
        <v>958</v>
      </c>
      <c r="S605" t="str">
        <f>"30"</f>
        <v>30</v>
      </c>
      <c r="T605" t="s">
        <v>78</v>
      </c>
      <c r="W605" t="s">
        <v>959</v>
      </c>
      <c r="Y605">
        <v>1241</v>
      </c>
      <c r="Z605" t="s">
        <v>928</v>
      </c>
      <c r="AB605" t="str">
        <f t="shared" si="60"/>
        <v>02325370266</v>
      </c>
      <c r="AC605" t="s">
        <v>116</v>
      </c>
      <c r="AD605" t="s">
        <v>929</v>
      </c>
      <c r="AF605">
        <v>2023</v>
      </c>
      <c r="AG605">
        <v>271</v>
      </c>
      <c r="AH605" t="str">
        <f t="shared" si="59"/>
        <v>1</v>
      </c>
      <c r="AI605" t="s">
        <v>960</v>
      </c>
      <c r="AJ605" s="1">
        <v>44950</v>
      </c>
      <c r="AK605" t="s">
        <v>961</v>
      </c>
      <c r="AL605">
        <v>329.4</v>
      </c>
      <c r="AM605" t="str">
        <f>"8897007428"</f>
        <v>8897007428</v>
      </c>
      <c r="AN605">
        <v>2023</v>
      </c>
      <c r="AO605">
        <v>194</v>
      </c>
      <c r="AP605">
        <v>82.4</v>
      </c>
      <c r="AQ605">
        <v>0</v>
      </c>
      <c r="AR605">
        <v>0</v>
      </c>
      <c r="BA605">
        <v>82.4</v>
      </c>
      <c r="BB605" s="1">
        <v>44982</v>
      </c>
    </row>
    <row r="606" spans="1:54" x14ac:dyDescent="0.25">
      <c r="A606">
        <v>2023</v>
      </c>
      <c r="B606">
        <v>255</v>
      </c>
      <c r="C606" s="1">
        <v>44982</v>
      </c>
      <c r="D606">
        <v>2023</v>
      </c>
      <c r="E606">
        <v>2022</v>
      </c>
      <c r="F606">
        <v>473</v>
      </c>
      <c r="H606" t="s">
        <v>964</v>
      </c>
      <c r="I606">
        <v>270</v>
      </c>
      <c r="J606">
        <v>0</v>
      </c>
      <c r="K606" t="s">
        <v>925</v>
      </c>
      <c r="R606" t="s">
        <v>965</v>
      </c>
      <c r="S606" t="str">
        <f>"30"</f>
        <v>30</v>
      </c>
      <c r="T606" t="s">
        <v>78</v>
      </c>
      <c r="W606" t="s">
        <v>966</v>
      </c>
      <c r="Y606">
        <v>1241</v>
      </c>
      <c r="Z606" t="s">
        <v>928</v>
      </c>
      <c r="AB606" t="str">
        <f t="shared" si="60"/>
        <v>02325370266</v>
      </c>
      <c r="AC606" t="s">
        <v>116</v>
      </c>
      <c r="AD606" t="s">
        <v>929</v>
      </c>
      <c r="AF606">
        <v>2023</v>
      </c>
      <c r="AG606">
        <v>272</v>
      </c>
      <c r="AH606" t="str">
        <f t="shared" si="59"/>
        <v>1</v>
      </c>
      <c r="AI606" t="s">
        <v>967</v>
      </c>
      <c r="AJ606" s="1">
        <v>44950</v>
      </c>
      <c r="AK606" t="s">
        <v>966</v>
      </c>
      <c r="AL606">
        <v>485.32</v>
      </c>
      <c r="AM606" t="str">
        <f>"8897021230"</f>
        <v>8897021230</v>
      </c>
      <c r="AN606">
        <v>2023</v>
      </c>
      <c r="AO606">
        <v>196</v>
      </c>
      <c r="AP606">
        <v>485.32</v>
      </c>
      <c r="AQ606">
        <v>0</v>
      </c>
      <c r="AR606">
        <v>87.52</v>
      </c>
      <c r="AS606" t="s">
        <v>177</v>
      </c>
      <c r="AT606">
        <v>397.8</v>
      </c>
      <c r="AU606">
        <v>87.52</v>
      </c>
      <c r="AV606">
        <v>2023</v>
      </c>
      <c r="AW606">
        <v>112</v>
      </c>
      <c r="AX606">
        <v>670</v>
      </c>
      <c r="AY606">
        <v>0</v>
      </c>
      <c r="AZ606" t="s">
        <v>968</v>
      </c>
      <c r="BA606">
        <v>485.32</v>
      </c>
      <c r="BB606" s="1">
        <v>44982</v>
      </c>
    </row>
    <row r="607" spans="1:54" x14ac:dyDescent="0.25">
      <c r="A607">
        <v>2023</v>
      </c>
      <c r="B607">
        <v>256</v>
      </c>
      <c r="C607" s="1">
        <v>44982</v>
      </c>
      <c r="D607">
        <v>2023</v>
      </c>
      <c r="E607">
        <v>2022</v>
      </c>
      <c r="F607">
        <v>334</v>
      </c>
      <c r="H607" t="s">
        <v>969</v>
      </c>
      <c r="I607">
        <v>270</v>
      </c>
      <c r="J607">
        <v>0</v>
      </c>
      <c r="K607" t="s">
        <v>925</v>
      </c>
      <c r="R607" t="s">
        <v>970</v>
      </c>
      <c r="S607" t="str">
        <f>"30"</f>
        <v>30</v>
      </c>
      <c r="T607" t="s">
        <v>78</v>
      </c>
      <c r="W607" t="s">
        <v>971</v>
      </c>
      <c r="Y607">
        <v>1241</v>
      </c>
      <c r="Z607" t="s">
        <v>928</v>
      </c>
      <c r="AB607" t="str">
        <f t="shared" si="60"/>
        <v>02325370266</v>
      </c>
      <c r="AC607" t="s">
        <v>116</v>
      </c>
      <c r="AD607" t="s">
        <v>929</v>
      </c>
      <c r="AF607">
        <v>2023</v>
      </c>
      <c r="AG607">
        <v>273</v>
      </c>
      <c r="AH607" t="str">
        <f t="shared" si="59"/>
        <v>1</v>
      </c>
      <c r="AI607" t="s">
        <v>972</v>
      </c>
      <c r="AJ607" s="1">
        <v>44950</v>
      </c>
      <c r="AK607" t="s">
        <v>971</v>
      </c>
      <c r="AL607" s="2">
        <v>1354.2</v>
      </c>
      <c r="AM607" t="str">
        <f>"8897028902"</f>
        <v>8897028902</v>
      </c>
      <c r="AN607">
        <v>2023</v>
      </c>
      <c r="AO607">
        <v>197</v>
      </c>
      <c r="AP607" s="2">
        <v>1354.2</v>
      </c>
      <c r="AQ607">
        <v>0</v>
      </c>
      <c r="AR607">
        <v>244.2</v>
      </c>
      <c r="AS607" t="s">
        <v>177</v>
      </c>
      <c r="AT607">
        <v>1110</v>
      </c>
      <c r="AU607">
        <v>244.2</v>
      </c>
      <c r="AV607">
        <v>2023</v>
      </c>
      <c r="AW607">
        <v>113</v>
      </c>
      <c r="AX607">
        <v>670</v>
      </c>
      <c r="AY607">
        <v>0</v>
      </c>
      <c r="AZ607" t="s">
        <v>973</v>
      </c>
      <c r="BA607">
        <v>1354.2</v>
      </c>
      <c r="BB607" s="1">
        <v>44982</v>
      </c>
    </row>
    <row r="608" spans="1:54" x14ac:dyDescent="0.25">
      <c r="A608">
        <v>2023</v>
      </c>
      <c r="B608">
        <v>257</v>
      </c>
      <c r="C608" s="1">
        <v>44982</v>
      </c>
      <c r="D608">
        <v>2023</v>
      </c>
      <c r="E608">
        <v>2022</v>
      </c>
      <c r="F608">
        <v>474</v>
      </c>
      <c r="H608" t="s">
        <v>974</v>
      </c>
      <c r="I608">
        <v>270</v>
      </c>
      <c r="J608">
        <v>0</v>
      </c>
      <c r="K608" t="s">
        <v>925</v>
      </c>
      <c r="R608" t="s">
        <v>975</v>
      </c>
      <c r="S608" t="str">
        <f>"30"</f>
        <v>30</v>
      </c>
      <c r="T608" t="s">
        <v>78</v>
      </c>
      <c r="W608" t="s">
        <v>976</v>
      </c>
      <c r="Y608">
        <v>1241</v>
      </c>
      <c r="Z608" t="s">
        <v>928</v>
      </c>
      <c r="AB608" t="str">
        <f t="shared" si="60"/>
        <v>02325370266</v>
      </c>
      <c r="AC608" t="s">
        <v>116</v>
      </c>
      <c r="AD608" t="s">
        <v>929</v>
      </c>
      <c r="AF608">
        <v>2023</v>
      </c>
      <c r="AG608">
        <v>274</v>
      </c>
      <c r="AH608" t="str">
        <f t="shared" si="59"/>
        <v>1</v>
      </c>
      <c r="AI608" t="s">
        <v>977</v>
      </c>
      <c r="AJ608" s="1">
        <v>44950</v>
      </c>
      <c r="AK608" t="s">
        <v>976</v>
      </c>
      <c r="AL608">
        <v>212.28</v>
      </c>
      <c r="AM608" t="str">
        <f>"8896973244"</f>
        <v>8896973244</v>
      </c>
      <c r="AN608">
        <v>2023</v>
      </c>
      <c r="AO608">
        <v>198</v>
      </c>
      <c r="AP608">
        <v>212.28</v>
      </c>
      <c r="AQ608">
        <v>0</v>
      </c>
      <c r="AR608">
        <v>38.28</v>
      </c>
      <c r="AS608" t="s">
        <v>177</v>
      </c>
      <c r="AT608">
        <v>174</v>
      </c>
      <c r="AU608">
        <v>38.28</v>
      </c>
      <c r="AV608">
        <v>2023</v>
      </c>
      <c r="AW608">
        <v>114</v>
      </c>
      <c r="AX608">
        <v>670</v>
      </c>
      <c r="AY608">
        <v>0</v>
      </c>
      <c r="AZ608" t="s">
        <v>978</v>
      </c>
      <c r="BA608">
        <v>212.28</v>
      </c>
      <c r="BB608" s="1">
        <v>44982</v>
      </c>
    </row>
    <row r="609" spans="1:54" x14ac:dyDescent="0.25">
      <c r="A609">
        <v>2023</v>
      </c>
      <c r="B609">
        <v>258</v>
      </c>
      <c r="C609" s="1">
        <v>44982</v>
      </c>
      <c r="D609">
        <v>2023</v>
      </c>
      <c r="E609">
        <v>2022</v>
      </c>
      <c r="F609">
        <v>344</v>
      </c>
      <c r="H609" t="s">
        <v>979</v>
      </c>
      <c r="I609">
        <v>270</v>
      </c>
      <c r="J609">
        <v>0</v>
      </c>
      <c r="K609" t="s">
        <v>925</v>
      </c>
      <c r="R609" t="s">
        <v>980</v>
      </c>
      <c r="S609" t="str">
        <f>"31"</f>
        <v>31</v>
      </c>
      <c r="T609" t="s">
        <v>122</v>
      </c>
      <c r="W609" t="s">
        <v>981</v>
      </c>
      <c r="Y609">
        <v>1241</v>
      </c>
      <c r="Z609" t="s">
        <v>928</v>
      </c>
      <c r="AB609" t="str">
        <f t="shared" si="60"/>
        <v>02325370266</v>
      </c>
      <c r="AC609" t="s">
        <v>116</v>
      </c>
      <c r="AD609" t="s">
        <v>929</v>
      </c>
      <c r="AF609">
        <v>2023</v>
      </c>
      <c r="AG609">
        <v>275</v>
      </c>
      <c r="AH609" t="str">
        <f t="shared" si="59"/>
        <v>1</v>
      </c>
      <c r="AI609" t="s">
        <v>982</v>
      </c>
      <c r="AJ609" s="1">
        <v>44950</v>
      </c>
      <c r="AK609" t="s">
        <v>981</v>
      </c>
      <c r="AL609">
        <v>541.67999999999995</v>
      </c>
      <c r="AM609" t="str">
        <f>"8897035261"</f>
        <v>8897035261</v>
      </c>
      <c r="AN609">
        <v>2023</v>
      </c>
      <c r="AO609">
        <v>199</v>
      </c>
      <c r="AP609">
        <v>541.67999999999995</v>
      </c>
      <c r="AQ609">
        <v>0</v>
      </c>
      <c r="AR609">
        <v>97.68</v>
      </c>
      <c r="AS609" t="s">
        <v>177</v>
      </c>
      <c r="AT609">
        <v>444</v>
      </c>
      <c r="AU609">
        <v>97.68</v>
      </c>
      <c r="AV609">
        <v>2023</v>
      </c>
      <c r="AW609">
        <v>115</v>
      </c>
      <c r="AX609">
        <v>670</v>
      </c>
      <c r="AY609">
        <v>0</v>
      </c>
      <c r="AZ609" t="s">
        <v>983</v>
      </c>
      <c r="BA609">
        <v>541.67999999999995</v>
      </c>
      <c r="BB609" s="1">
        <v>44982</v>
      </c>
    </row>
    <row r="610" spans="1:54" x14ac:dyDescent="0.25">
      <c r="A610">
        <v>2023</v>
      </c>
      <c r="B610">
        <v>259</v>
      </c>
      <c r="C610" s="1">
        <v>44982</v>
      </c>
      <c r="D610">
        <v>2023</v>
      </c>
      <c r="E610">
        <v>2022</v>
      </c>
      <c r="F610">
        <v>469</v>
      </c>
      <c r="H610" t="s">
        <v>984</v>
      </c>
      <c r="I610">
        <v>270</v>
      </c>
      <c r="J610">
        <v>0</v>
      </c>
      <c r="K610" t="s">
        <v>925</v>
      </c>
      <c r="R610" t="s">
        <v>985</v>
      </c>
      <c r="S610" t="str">
        <f>"30"</f>
        <v>30</v>
      </c>
      <c r="T610" t="s">
        <v>78</v>
      </c>
      <c r="W610" t="s">
        <v>986</v>
      </c>
      <c r="Y610">
        <v>1241</v>
      </c>
      <c r="Z610" t="s">
        <v>928</v>
      </c>
      <c r="AB610" t="str">
        <f t="shared" si="60"/>
        <v>02325370266</v>
      </c>
      <c r="AC610" t="s">
        <v>116</v>
      </c>
      <c r="AD610" t="s">
        <v>929</v>
      </c>
      <c r="AF610">
        <v>2023</v>
      </c>
      <c r="AG610">
        <v>276</v>
      </c>
      <c r="AH610" t="str">
        <f t="shared" si="59"/>
        <v>1</v>
      </c>
      <c r="AI610" t="s">
        <v>987</v>
      </c>
      <c r="AJ610" s="1">
        <v>44950</v>
      </c>
      <c r="AK610" t="s">
        <v>986</v>
      </c>
      <c r="AL610">
        <v>541.67999999999995</v>
      </c>
      <c r="AM610" t="str">
        <f>"8896999575"</f>
        <v>8896999575</v>
      </c>
      <c r="AN610">
        <v>2023</v>
      </c>
      <c r="AO610">
        <v>200</v>
      </c>
      <c r="AP610">
        <v>541.67999999999995</v>
      </c>
      <c r="AQ610">
        <v>0</v>
      </c>
      <c r="AR610">
        <v>97.68</v>
      </c>
      <c r="AS610" t="s">
        <v>177</v>
      </c>
      <c r="AT610">
        <v>444</v>
      </c>
      <c r="AU610">
        <v>97.68</v>
      </c>
      <c r="AV610">
        <v>2023</v>
      </c>
      <c r="AW610">
        <v>116</v>
      </c>
      <c r="AX610">
        <v>670</v>
      </c>
      <c r="AY610">
        <v>0</v>
      </c>
      <c r="AZ610" t="s">
        <v>988</v>
      </c>
      <c r="BA610">
        <v>541.67999999999995</v>
      </c>
      <c r="BB610" s="1">
        <v>44982</v>
      </c>
    </row>
    <row r="611" spans="1:54" x14ac:dyDescent="0.25">
      <c r="A611">
        <v>2023</v>
      </c>
      <c r="B611">
        <v>260</v>
      </c>
      <c r="C611" s="1">
        <v>44982</v>
      </c>
      <c r="D611">
        <v>2023</v>
      </c>
      <c r="E611">
        <v>2022</v>
      </c>
      <c r="F611">
        <v>332</v>
      </c>
      <c r="H611" t="s">
        <v>989</v>
      </c>
      <c r="I611">
        <v>270</v>
      </c>
      <c r="J611">
        <v>0</v>
      </c>
      <c r="K611" t="s">
        <v>925</v>
      </c>
      <c r="R611" t="s">
        <v>990</v>
      </c>
      <c r="S611" t="str">
        <f>"30"</f>
        <v>30</v>
      </c>
      <c r="T611" t="s">
        <v>78</v>
      </c>
      <c r="W611" t="s">
        <v>991</v>
      </c>
      <c r="Y611">
        <v>1241</v>
      </c>
      <c r="Z611" t="s">
        <v>928</v>
      </c>
      <c r="AB611" t="str">
        <f t="shared" si="60"/>
        <v>02325370266</v>
      </c>
      <c r="AC611" t="s">
        <v>116</v>
      </c>
      <c r="AD611" t="s">
        <v>929</v>
      </c>
      <c r="AF611">
        <v>2023</v>
      </c>
      <c r="AG611">
        <v>277</v>
      </c>
      <c r="AH611" t="str">
        <f t="shared" si="59"/>
        <v>1</v>
      </c>
      <c r="AI611" t="s">
        <v>992</v>
      </c>
      <c r="AJ611" s="1">
        <v>44950</v>
      </c>
      <c r="AK611" t="s">
        <v>991</v>
      </c>
      <c r="AL611">
        <v>812.52</v>
      </c>
      <c r="AM611" t="str">
        <f>"8896904440"</f>
        <v>8896904440</v>
      </c>
      <c r="AN611">
        <v>2023</v>
      </c>
      <c r="AO611">
        <v>201</v>
      </c>
      <c r="AP611">
        <v>812.52</v>
      </c>
      <c r="AQ611">
        <v>0</v>
      </c>
      <c r="AR611">
        <v>146.52000000000001</v>
      </c>
      <c r="AS611" t="s">
        <v>177</v>
      </c>
      <c r="AT611">
        <v>666</v>
      </c>
      <c r="AU611">
        <v>146.52000000000001</v>
      </c>
      <c r="AV611">
        <v>2023</v>
      </c>
      <c r="AW611">
        <v>117</v>
      </c>
      <c r="AX611">
        <v>670</v>
      </c>
      <c r="AY611">
        <v>0</v>
      </c>
      <c r="AZ611" t="s">
        <v>993</v>
      </c>
      <c r="BA611">
        <v>812.52</v>
      </c>
      <c r="BB611" s="1">
        <v>44982</v>
      </c>
    </row>
    <row r="612" spans="1:54" x14ac:dyDescent="0.25">
      <c r="A612">
        <v>2023</v>
      </c>
      <c r="B612">
        <v>261</v>
      </c>
      <c r="C612" s="1">
        <v>44982</v>
      </c>
      <c r="D612">
        <v>2023</v>
      </c>
      <c r="E612">
        <v>2022</v>
      </c>
      <c r="F612">
        <v>454</v>
      </c>
      <c r="H612" t="s">
        <v>994</v>
      </c>
      <c r="I612">
        <v>270</v>
      </c>
      <c r="J612">
        <v>0</v>
      </c>
      <c r="K612" t="s">
        <v>925</v>
      </c>
      <c r="R612" t="s">
        <v>995</v>
      </c>
      <c r="S612" t="str">
        <f>"30"</f>
        <v>30</v>
      </c>
      <c r="T612" t="s">
        <v>78</v>
      </c>
      <c r="W612" t="s">
        <v>996</v>
      </c>
      <c r="Y612">
        <v>1241</v>
      </c>
      <c r="Z612" t="s">
        <v>928</v>
      </c>
      <c r="AB612" t="str">
        <f t="shared" si="60"/>
        <v>02325370266</v>
      </c>
      <c r="AC612" t="s">
        <v>116</v>
      </c>
      <c r="AD612" t="s">
        <v>929</v>
      </c>
      <c r="AF612">
        <v>2023</v>
      </c>
      <c r="AG612">
        <v>278</v>
      </c>
      <c r="AH612" t="str">
        <f t="shared" si="59"/>
        <v>1</v>
      </c>
      <c r="AI612" t="s">
        <v>997</v>
      </c>
      <c r="AJ612" s="1">
        <v>44950</v>
      </c>
      <c r="AK612" t="s">
        <v>996</v>
      </c>
      <c r="AL612">
        <v>485.32</v>
      </c>
      <c r="AM612" t="str">
        <f>"8896936264"</f>
        <v>8896936264</v>
      </c>
      <c r="AN612">
        <v>2023</v>
      </c>
      <c r="AO612">
        <v>202</v>
      </c>
      <c r="AP612">
        <v>485.32</v>
      </c>
      <c r="AQ612">
        <v>0</v>
      </c>
      <c r="AR612">
        <v>87.52</v>
      </c>
      <c r="AS612" t="s">
        <v>177</v>
      </c>
      <c r="AT612">
        <v>397.8</v>
      </c>
      <c r="AU612">
        <v>87.52</v>
      </c>
      <c r="AV612">
        <v>2023</v>
      </c>
      <c r="AW612">
        <v>118</v>
      </c>
      <c r="AX612">
        <v>670</v>
      </c>
      <c r="AY612">
        <v>0</v>
      </c>
      <c r="AZ612" t="s">
        <v>998</v>
      </c>
      <c r="BA612">
        <v>485.32</v>
      </c>
      <c r="BB612" s="1">
        <v>44982</v>
      </c>
    </row>
    <row r="613" spans="1:54" x14ac:dyDescent="0.25">
      <c r="A613">
        <v>2023</v>
      </c>
      <c r="B613">
        <v>262</v>
      </c>
      <c r="C613" s="1">
        <v>44982</v>
      </c>
      <c r="D613">
        <v>2023</v>
      </c>
      <c r="E613">
        <v>2020</v>
      </c>
      <c r="F613">
        <v>696</v>
      </c>
      <c r="H613" t="s">
        <v>999</v>
      </c>
      <c r="I613">
        <v>270</v>
      </c>
      <c r="J613">
        <v>0</v>
      </c>
      <c r="K613" t="s">
        <v>925</v>
      </c>
      <c r="R613" t="s">
        <v>1000</v>
      </c>
      <c r="S613" t="str">
        <f>"30"</f>
        <v>30</v>
      </c>
      <c r="T613" t="s">
        <v>78</v>
      </c>
      <c r="W613" t="s">
        <v>1001</v>
      </c>
      <c r="Y613">
        <v>1241</v>
      </c>
      <c r="Z613" t="s">
        <v>928</v>
      </c>
      <c r="AB613" t="str">
        <f t="shared" si="60"/>
        <v>02325370266</v>
      </c>
      <c r="AC613" t="s">
        <v>116</v>
      </c>
      <c r="AD613" t="s">
        <v>929</v>
      </c>
      <c r="AF613">
        <v>2023</v>
      </c>
      <c r="AG613">
        <v>280</v>
      </c>
      <c r="AH613" t="str">
        <f t="shared" si="59"/>
        <v>1</v>
      </c>
      <c r="AI613" t="s">
        <v>1002</v>
      </c>
      <c r="AJ613" s="1">
        <v>44950</v>
      </c>
      <c r="AK613" t="s">
        <v>1001</v>
      </c>
      <c r="AL613">
        <v>695.4</v>
      </c>
      <c r="AM613" t="str">
        <f>"8897015853"</f>
        <v>8897015853</v>
      </c>
      <c r="AN613">
        <v>2023</v>
      </c>
      <c r="AO613">
        <v>203</v>
      </c>
      <c r="AP613">
        <v>695.4</v>
      </c>
      <c r="AQ613">
        <v>0</v>
      </c>
      <c r="AR613">
        <v>125.4</v>
      </c>
      <c r="AS613" t="s">
        <v>177</v>
      </c>
      <c r="AT613">
        <v>570</v>
      </c>
      <c r="AU613">
        <v>125.4</v>
      </c>
      <c r="AV613">
        <v>2023</v>
      </c>
      <c r="AW613">
        <v>119</v>
      </c>
      <c r="AX613">
        <v>670</v>
      </c>
      <c r="AY613">
        <v>0</v>
      </c>
      <c r="AZ613" t="s">
        <v>1003</v>
      </c>
      <c r="BA613">
        <v>695.4</v>
      </c>
      <c r="BB613" s="1">
        <v>44982</v>
      </c>
    </row>
    <row r="614" spans="1:54" x14ac:dyDescent="0.25">
      <c r="A614">
        <v>2023</v>
      </c>
      <c r="B614">
        <v>263</v>
      </c>
      <c r="C614" s="1">
        <v>44982</v>
      </c>
      <c r="D614">
        <v>2023</v>
      </c>
      <c r="E614">
        <v>2022</v>
      </c>
      <c r="F614">
        <v>333</v>
      </c>
      <c r="H614" t="s">
        <v>1004</v>
      </c>
      <c r="I614">
        <v>270</v>
      </c>
      <c r="J614">
        <v>0</v>
      </c>
      <c r="K614" t="s">
        <v>925</v>
      </c>
      <c r="R614" t="s">
        <v>1005</v>
      </c>
      <c r="S614" t="str">
        <f>"30"</f>
        <v>30</v>
      </c>
      <c r="T614" t="s">
        <v>78</v>
      </c>
      <c r="W614" t="s">
        <v>1006</v>
      </c>
      <c r="Y614">
        <v>1241</v>
      </c>
      <c r="Z614" t="s">
        <v>928</v>
      </c>
      <c r="AB614" t="str">
        <f t="shared" si="60"/>
        <v>02325370266</v>
      </c>
      <c r="AC614" t="s">
        <v>116</v>
      </c>
      <c r="AD614" t="s">
        <v>929</v>
      </c>
      <c r="AF614">
        <v>2023</v>
      </c>
      <c r="AG614">
        <v>281</v>
      </c>
      <c r="AH614" t="str">
        <f t="shared" si="59"/>
        <v>1</v>
      </c>
      <c r="AI614" t="s">
        <v>1007</v>
      </c>
      <c r="AJ614" s="1">
        <v>44950</v>
      </c>
      <c r="AK614" t="s">
        <v>1006</v>
      </c>
      <c r="AL614">
        <v>485.32</v>
      </c>
      <c r="AM614" t="str">
        <f>"8896952767"</f>
        <v>8896952767</v>
      </c>
      <c r="AN614">
        <v>2023</v>
      </c>
      <c r="AO614">
        <v>204</v>
      </c>
      <c r="AP614">
        <v>485.32</v>
      </c>
      <c r="AQ614">
        <v>0</v>
      </c>
      <c r="AR614">
        <v>87.52</v>
      </c>
      <c r="AS614" t="s">
        <v>177</v>
      </c>
      <c r="AT614">
        <v>397.8</v>
      </c>
      <c r="AU614">
        <v>87.52</v>
      </c>
      <c r="AV614">
        <v>2023</v>
      </c>
      <c r="AW614">
        <v>120</v>
      </c>
      <c r="AX614">
        <v>670</v>
      </c>
      <c r="AY614">
        <v>0</v>
      </c>
      <c r="AZ614" t="s">
        <v>1008</v>
      </c>
      <c r="BA614">
        <v>485.32</v>
      </c>
      <c r="BB614" s="1">
        <v>44982</v>
      </c>
    </row>
    <row r="615" spans="1:54" x14ac:dyDescent="0.25">
      <c r="A615">
        <v>2023</v>
      </c>
      <c r="B615">
        <v>264</v>
      </c>
      <c r="C615" s="1">
        <v>44982</v>
      </c>
      <c r="D615">
        <v>2023</v>
      </c>
      <c r="E615">
        <v>2022</v>
      </c>
      <c r="F615">
        <v>687</v>
      </c>
      <c r="H615" t="s">
        <v>1009</v>
      </c>
      <c r="I615">
        <v>270</v>
      </c>
      <c r="J615">
        <v>0</v>
      </c>
      <c r="K615" t="s">
        <v>925</v>
      </c>
      <c r="R615" t="s">
        <v>1010</v>
      </c>
      <c r="S615" t="str">
        <f>"31"</f>
        <v>31</v>
      </c>
      <c r="T615" t="s">
        <v>122</v>
      </c>
      <c r="W615" t="s">
        <v>1011</v>
      </c>
      <c r="Y615">
        <v>1241</v>
      </c>
      <c r="Z615" t="s">
        <v>928</v>
      </c>
      <c r="AB615" t="str">
        <f t="shared" si="60"/>
        <v>02325370266</v>
      </c>
      <c r="AC615" t="s">
        <v>116</v>
      </c>
      <c r="AD615" t="s">
        <v>929</v>
      </c>
      <c r="AF615">
        <v>2023</v>
      </c>
      <c r="AG615">
        <v>279</v>
      </c>
      <c r="AH615" t="str">
        <f t="shared" si="59"/>
        <v>1</v>
      </c>
      <c r="AI615" t="s">
        <v>1012</v>
      </c>
      <c r="AJ615" s="1">
        <v>44950</v>
      </c>
      <c r="AK615" t="s">
        <v>1011</v>
      </c>
      <c r="AL615" s="2">
        <v>2422.92</v>
      </c>
      <c r="AM615" t="str">
        <f>"8896892677"</f>
        <v>8896892677</v>
      </c>
      <c r="AN615">
        <v>2023</v>
      </c>
      <c r="AO615">
        <v>205</v>
      </c>
      <c r="AP615" s="2">
        <v>2422.92</v>
      </c>
      <c r="AQ615">
        <v>0</v>
      </c>
      <c r="AR615">
        <v>436.92</v>
      </c>
      <c r="AS615" t="s">
        <v>177</v>
      </c>
      <c r="AT615">
        <v>1986</v>
      </c>
      <c r="AU615">
        <v>436.92</v>
      </c>
      <c r="AV615">
        <v>2023</v>
      </c>
      <c r="AW615">
        <v>121</v>
      </c>
      <c r="AX615">
        <v>670</v>
      </c>
      <c r="AY615">
        <v>0</v>
      </c>
      <c r="AZ615" t="s">
        <v>1013</v>
      </c>
      <c r="BA615">
        <v>2422.92</v>
      </c>
      <c r="BB615" s="1">
        <v>44982</v>
      </c>
    </row>
    <row r="616" spans="1:54" x14ac:dyDescent="0.25">
      <c r="A616">
        <v>2023</v>
      </c>
      <c r="B616">
        <v>265</v>
      </c>
      <c r="C616" s="1">
        <v>44982</v>
      </c>
      <c r="D616">
        <v>2023</v>
      </c>
      <c r="E616">
        <v>2022</v>
      </c>
      <c r="F616">
        <v>665</v>
      </c>
      <c r="H616" t="s">
        <v>1014</v>
      </c>
      <c r="I616">
        <v>149</v>
      </c>
      <c r="J616">
        <v>0</v>
      </c>
      <c r="K616" t="s">
        <v>277</v>
      </c>
      <c r="R616" t="s">
        <v>1015</v>
      </c>
      <c r="S616" t="str">
        <f>"31"</f>
        <v>31</v>
      </c>
      <c r="T616" t="s">
        <v>122</v>
      </c>
      <c r="W616" t="s">
        <v>1016</v>
      </c>
      <c r="Y616">
        <v>3648</v>
      </c>
      <c r="Z616" t="s">
        <v>1017</v>
      </c>
      <c r="AB616" t="str">
        <f t="shared" ref="AB616:AB625" si="61">"04459390276"</f>
        <v>04459390276</v>
      </c>
      <c r="AC616" t="s">
        <v>116</v>
      </c>
      <c r="AD616" t="s">
        <v>1018</v>
      </c>
      <c r="AF616">
        <v>2023</v>
      </c>
      <c r="AG616">
        <v>28</v>
      </c>
      <c r="AH616" t="str">
        <f t="shared" si="59"/>
        <v>1</v>
      </c>
      <c r="AI616" t="str">
        <f>"00033"</f>
        <v>00033</v>
      </c>
      <c r="AJ616" s="1">
        <v>44937</v>
      </c>
      <c r="AK616" t="s">
        <v>1016</v>
      </c>
      <c r="AL616">
        <v>145.18</v>
      </c>
      <c r="AM616" t="str">
        <f>"8809225233"</f>
        <v>8809225233</v>
      </c>
      <c r="AN616">
        <v>2023</v>
      </c>
      <c r="AO616">
        <v>25</v>
      </c>
      <c r="AP616">
        <v>145.18</v>
      </c>
      <c r="AQ616">
        <v>0</v>
      </c>
      <c r="AR616">
        <v>26.18</v>
      </c>
      <c r="AS616" t="s">
        <v>177</v>
      </c>
      <c r="AT616">
        <v>119</v>
      </c>
      <c r="AU616">
        <v>26.18</v>
      </c>
      <c r="AV616">
        <v>2023</v>
      </c>
      <c r="AW616">
        <v>122</v>
      </c>
      <c r="AX616">
        <v>670</v>
      </c>
      <c r="AY616">
        <v>0</v>
      </c>
      <c r="AZ616" t="s">
        <v>1019</v>
      </c>
      <c r="BA616">
        <v>145.18</v>
      </c>
      <c r="BB616" s="1">
        <v>44982</v>
      </c>
    </row>
    <row r="617" spans="1:54" x14ac:dyDescent="0.25">
      <c r="A617">
        <v>2023</v>
      </c>
      <c r="B617">
        <v>266</v>
      </c>
      <c r="C617" s="1">
        <v>44982</v>
      </c>
      <c r="D617">
        <v>2023</v>
      </c>
      <c r="E617">
        <v>2021</v>
      </c>
      <c r="F617">
        <v>637</v>
      </c>
      <c r="H617" t="s">
        <v>1020</v>
      </c>
      <c r="I617">
        <v>149</v>
      </c>
      <c r="J617">
        <v>0</v>
      </c>
      <c r="K617" t="s">
        <v>277</v>
      </c>
      <c r="R617" t="s">
        <v>1021</v>
      </c>
      <c r="S617" t="str">
        <f>"31"</f>
        <v>31</v>
      </c>
      <c r="T617" t="s">
        <v>122</v>
      </c>
      <c r="W617" t="s">
        <v>1022</v>
      </c>
      <c r="Y617">
        <v>3648</v>
      </c>
      <c r="Z617" t="s">
        <v>1017</v>
      </c>
      <c r="AB617" t="str">
        <f t="shared" si="61"/>
        <v>04459390276</v>
      </c>
      <c r="AC617" t="s">
        <v>116</v>
      </c>
      <c r="AD617" t="s">
        <v>1018</v>
      </c>
      <c r="AF617">
        <v>2023</v>
      </c>
      <c r="AG617">
        <v>25</v>
      </c>
      <c r="AH617" t="str">
        <f t="shared" si="59"/>
        <v>1</v>
      </c>
      <c r="AI617" t="str">
        <f>"00029"</f>
        <v>00029</v>
      </c>
      <c r="AJ617" s="1">
        <v>44937</v>
      </c>
      <c r="AK617" t="s">
        <v>1022</v>
      </c>
      <c r="AL617" s="2">
        <v>3660</v>
      </c>
      <c r="AM617" t="str">
        <f>"8809213912"</f>
        <v>8809213912</v>
      </c>
      <c r="AN617">
        <v>2023</v>
      </c>
      <c r="AO617">
        <v>26</v>
      </c>
      <c r="AP617" s="2">
        <v>3660</v>
      </c>
      <c r="AQ617">
        <v>0</v>
      </c>
      <c r="AR617">
        <v>660</v>
      </c>
      <c r="AS617" t="s">
        <v>177</v>
      </c>
      <c r="AT617">
        <v>3000</v>
      </c>
      <c r="AU617">
        <v>660</v>
      </c>
      <c r="AV617">
        <v>2023</v>
      </c>
      <c r="AW617">
        <v>123</v>
      </c>
      <c r="AX617">
        <v>670</v>
      </c>
      <c r="AY617">
        <v>0</v>
      </c>
      <c r="AZ617" t="s">
        <v>1023</v>
      </c>
      <c r="BA617">
        <v>3660</v>
      </c>
      <c r="BB617" s="1">
        <v>44982</v>
      </c>
    </row>
    <row r="618" spans="1:54" x14ac:dyDescent="0.25">
      <c r="A618">
        <v>2023</v>
      </c>
      <c r="B618">
        <v>267</v>
      </c>
      <c r="C618" s="1">
        <v>44982</v>
      </c>
      <c r="D618">
        <v>2023</v>
      </c>
      <c r="E618">
        <v>2022</v>
      </c>
      <c r="F618">
        <v>571</v>
      </c>
      <c r="H618" t="s">
        <v>1024</v>
      </c>
      <c r="I618">
        <v>149</v>
      </c>
      <c r="J618">
        <v>0</v>
      </c>
      <c r="K618" t="s">
        <v>277</v>
      </c>
      <c r="R618" t="s">
        <v>1025</v>
      </c>
      <c r="S618" t="str">
        <f>"30"</f>
        <v>30</v>
      </c>
      <c r="T618" t="s">
        <v>78</v>
      </c>
      <c r="W618" t="s">
        <v>1026</v>
      </c>
      <c r="Y618">
        <v>3648</v>
      </c>
      <c r="Z618" t="s">
        <v>1017</v>
      </c>
      <c r="AB618" t="str">
        <f t="shared" si="61"/>
        <v>04459390276</v>
      </c>
      <c r="AC618" t="s">
        <v>116</v>
      </c>
      <c r="AD618" t="s">
        <v>1018</v>
      </c>
      <c r="AF618">
        <v>2023</v>
      </c>
      <c r="AG618">
        <v>27</v>
      </c>
      <c r="AH618" t="str">
        <f t="shared" si="59"/>
        <v>1</v>
      </c>
      <c r="AI618" t="str">
        <f>"00030"</f>
        <v>00030</v>
      </c>
      <c r="AJ618" s="1">
        <v>44937</v>
      </c>
      <c r="AK618" t="s">
        <v>1026</v>
      </c>
      <c r="AL618">
        <v>297.68</v>
      </c>
      <c r="AM618" t="str">
        <f>"8809216932"</f>
        <v>8809216932</v>
      </c>
      <c r="AN618">
        <v>2023</v>
      </c>
      <c r="AO618">
        <v>27</v>
      </c>
      <c r="AP618">
        <v>297.68</v>
      </c>
      <c r="AQ618">
        <v>0</v>
      </c>
      <c r="AR618">
        <v>53.68</v>
      </c>
      <c r="AS618" t="s">
        <v>177</v>
      </c>
      <c r="AT618">
        <v>244</v>
      </c>
      <c r="AU618">
        <v>53.68</v>
      </c>
      <c r="AV618">
        <v>2023</v>
      </c>
      <c r="AW618">
        <v>124</v>
      </c>
      <c r="AX618">
        <v>670</v>
      </c>
      <c r="AY618">
        <v>0</v>
      </c>
      <c r="AZ618" t="s">
        <v>1027</v>
      </c>
      <c r="BA618">
        <v>297.68</v>
      </c>
      <c r="BB618" s="1">
        <v>44982</v>
      </c>
    </row>
    <row r="619" spans="1:54" x14ac:dyDescent="0.25">
      <c r="A619">
        <v>2023</v>
      </c>
      <c r="B619">
        <v>268</v>
      </c>
      <c r="C619" s="1">
        <v>44982</v>
      </c>
      <c r="D619">
        <v>2023</v>
      </c>
      <c r="E619">
        <v>2022</v>
      </c>
      <c r="F619">
        <v>691</v>
      </c>
      <c r="H619" t="s">
        <v>1028</v>
      </c>
      <c r="I619">
        <v>149</v>
      </c>
      <c r="J619">
        <v>0</v>
      </c>
      <c r="K619" t="s">
        <v>277</v>
      </c>
      <c r="R619" t="s">
        <v>1029</v>
      </c>
      <c r="S619" t="str">
        <f>"30"</f>
        <v>30</v>
      </c>
      <c r="T619" t="s">
        <v>78</v>
      </c>
      <c r="W619" t="s">
        <v>1030</v>
      </c>
      <c r="Y619">
        <v>3648</v>
      </c>
      <c r="Z619" t="s">
        <v>1017</v>
      </c>
      <c r="AB619" t="str">
        <f t="shared" si="61"/>
        <v>04459390276</v>
      </c>
      <c r="AC619" t="s">
        <v>116</v>
      </c>
      <c r="AD619" t="s">
        <v>1018</v>
      </c>
      <c r="AF619">
        <v>2023</v>
      </c>
      <c r="AG619">
        <v>32</v>
      </c>
      <c r="AH619" t="str">
        <f t="shared" si="59"/>
        <v>1</v>
      </c>
      <c r="AI619" t="str">
        <f>"00031"</f>
        <v>00031</v>
      </c>
      <c r="AJ619" s="1">
        <v>44937</v>
      </c>
      <c r="AK619" t="s">
        <v>1030</v>
      </c>
      <c r="AL619" s="2">
        <v>2239.92</v>
      </c>
      <c r="AM619" t="str">
        <f>"8809219961"</f>
        <v>8809219961</v>
      </c>
      <c r="AN619">
        <v>2023</v>
      </c>
      <c r="AO619">
        <v>28</v>
      </c>
      <c r="AP619" s="2">
        <v>2239.92</v>
      </c>
      <c r="AQ619">
        <v>0</v>
      </c>
      <c r="AR619">
        <v>403.92</v>
      </c>
      <c r="AS619" t="s">
        <v>177</v>
      </c>
      <c r="AT619">
        <v>1836</v>
      </c>
      <c r="AU619">
        <v>403.92</v>
      </c>
      <c r="AV619">
        <v>2023</v>
      </c>
      <c r="AW619">
        <v>125</v>
      </c>
      <c r="AX619">
        <v>670</v>
      </c>
      <c r="AY619">
        <v>0</v>
      </c>
      <c r="AZ619" t="s">
        <v>1031</v>
      </c>
      <c r="BA619">
        <v>2239.92</v>
      </c>
      <c r="BB619" s="1">
        <v>44982</v>
      </c>
    </row>
    <row r="620" spans="1:54" x14ac:dyDescent="0.25">
      <c r="A620">
        <v>2023</v>
      </c>
      <c r="B620">
        <v>269</v>
      </c>
      <c r="C620" s="1">
        <v>44982</v>
      </c>
      <c r="D620">
        <v>2023</v>
      </c>
      <c r="E620">
        <v>2022</v>
      </c>
      <c r="F620">
        <v>579</v>
      </c>
      <c r="H620" t="s">
        <v>1032</v>
      </c>
      <c r="I620">
        <v>120</v>
      </c>
      <c r="J620">
        <v>0</v>
      </c>
      <c r="K620" t="s">
        <v>120</v>
      </c>
      <c r="R620" t="s">
        <v>1033</v>
      </c>
      <c r="S620" t="str">
        <f>"30"</f>
        <v>30</v>
      </c>
      <c r="T620" t="s">
        <v>78</v>
      </c>
      <c r="W620" t="s">
        <v>1034</v>
      </c>
      <c r="Y620">
        <v>3648</v>
      </c>
      <c r="Z620" t="s">
        <v>1017</v>
      </c>
      <c r="AB620" t="str">
        <f t="shared" si="61"/>
        <v>04459390276</v>
      </c>
      <c r="AC620" t="s">
        <v>116</v>
      </c>
      <c r="AD620" t="s">
        <v>1018</v>
      </c>
      <c r="AF620">
        <v>2023</v>
      </c>
      <c r="AG620">
        <v>26</v>
      </c>
      <c r="AH620" t="str">
        <f t="shared" si="59"/>
        <v>1</v>
      </c>
      <c r="AI620" t="str">
        <f>"00032"</f>
        <v>00032</v>
      </c>
      <c r="AJ620" s="1">
        <v>44937</v>
      </c>
      <c r="AK620" t="s">
        <v>1034</v>
      </c>
      <c r="AL620" s="2">
        <v>1105.32</v>
      </c>
      <c r="AM620" t="str">
        <f>"8809222413"</f>
        <v>8809222413</v>
      </c>
      <c r="AN620">
        <v>2023</v>
      </c>
      <c r="AO620">
        <v>31</v>
      </c>
      <c r="AP620" s="2">
        <v>1105.32</v>
      </c>
      <c r="AQ620">
        <v>0</v>
      </c>
      <c r="AR620">
        <v>199.32</v>
      </c>
      <c r="AS620" t="s">
        <v>177</v>
      </c>
      <c r="AT620">
        <v>906</v>
      </c>
      <c r="AU620">
        <v>199.32</v>
      </c>
      <c r="AV620">
        <v>2023</v>
      </c>
      <c r="AW620">
        <v>126</v>
      </c>
      <c r="AX620">
        <v>670</v>
      </c>
      <c r="AY620">
        <v>0</v>
      </c>
      <c r="AZ620" t="s">
        <v>1035</v>
      </c>
      <c r="BA620">
        <v>1105.32</v>
      </c>
      <c r="BB620" s="1">
        <v>44982</v>
      </c>
    </row>
    <row r="621" spans="1:54" x14ac:dyDescent="0.25">
      <c r="A621">
        <v>2023</v>
      </c>
      <c r="B621">
        <v>270</v>
      </c>
      <c r="C621" s="1">
        <v>44982</v>
      </c>
      <c r="D621">
        <v>2023</v>
      </c>
      <c r="E621">
        <v>2022</v>
      </c>
      <c r="F621">
        <v>476</v>
      </c>
      <c r="H621" t="s">
        <v>1036</v>
      </c>
      <c r="I621">
        <v>270</v>
      </c>
      <c r="J621">
        <v>0</v>
      </c>
      <c r="K621" t="s">
        <v>925</v>
      </c>
      <c r="R621" t="s">
        <v>1037</v>
      </c>
      <c r="S621" t="str">
        <f>"30"</f>
        <v>30</v>
      </c>
      <c r="T621" t="s">
        <v>78</v>
      </c>
      <c r="W621" t="s">
        <v>1038</v>
      </c>
      <c r="Y621">
        <v>3648</v>
      </c>
      <c r="Z621" t="s">
        <v>1017</v>
      </c>
      <c r="AB621" t="str">
        <f t="shared" si="61"/>
        <v>04459390276</v>
      </c>
      <c r="AC621" t="s">
        <v>116</v>
      </c>
      <c r="AD621" t="s">
        <v>1018</v>
      </c>
      <c r="AF621">
        <v>2023</v>
      </c>
      <c r="AG621">
        <v>29</v>
      </c>
      <c r="AH621" t="str">
        <f t="shared" si="59"/>
        <v>1</v>
      </c>
      <c r="AI621" t="str">
        <f>"00028"</f>
        <v>00028</v>
      </c>
      <c r="AJ621" s="1">
        <v>44937</v>
      </c>
      <c r="AK621" t="s">
        <v>1038</v>
      </c>
      <c r="AL621">
        <v>578.28</v>
      </c>
      <c r="AM621" t="str">
        <f>"8809211451"</f>
        <v>8809211451</v>
      </c>
      <c r="AN621">
        <v>2023</v>
      </c>
      <c r="AO621">
        <v>35</v>
      </c>
      <c r="AP621">
        <v>578.28</v>
      </c>
      <c r="AQ621">
        <v>0</v>
      </c>
      <c r="AR621">
        <v>104.28</v>
      </c>
      <c r="AS621" t="s">
        <v>177</v>
      </c>
      <c r="AT621">
        <v>474</v>
      </c>
      <c r="AU621">
        <v>104.28</v>
      </c>
      <c r="AV621">
        <v>2023</v>
      </c>
      <c r="AW621">
        <v>127</v>
      </c>
      <c r="AX621">
        <v>670</v>
      </c>
      <c r="AY621">
        <v>0</v>
      </c>
      <c r="AZ621" t="s">
        <v>1039</v>
      </c>
      <c r="BA621">
        <v>578.28</v>
      </c>
      <c r="BB621" s="1">
        <v>44982</v>
      </c>
    </row>
    <row r="622" spans="1:54" x14ac:dyDescent="0.25">
      <c r="A622">
        <v>2023</v>
      </c>
      <c r="B622">
        <v>271</v>
      </c>
      <c r="C622" s="1">
        <v>44982</v>
      </c>
      <c r="D622">
        <v>2023</v>
      </c>
      <c r="E622">
        <v>2022</v>
      </c>
      <c r="F622">
        <v>477</v>
      </c>
      <c r="H622" t="s">
        <v>1040</v>
      </c>
      <c r="I622">
        <v>270</v>
      </c>
      <c r="J622">
        <v>0</v>
      </c>
      <c r="K622" t="s">
        <v>925</v>
      </c>
      <c r="R622" t="s">
        <v>1041</v>
      </c>
      <c r="S622" t="str">
        <f>"30"</f>
        <v>30</v>
      </c>
      <c r="T622" t="s">
        <v>78</v>
      </c>
      <c r="W622" t="s">
        <v>1042</v>
      </c>
      <c r="Y622">
        <v>3648</v>
      </c>
      <c r="Z622" t="s">
        <v>1017</v>
      </c>
      <c r="AB622" t="str">
        <f t="shared" si="61"/>
        <v>04459390276</v>
      </c>
      <c r="AC622" t="s">
        <v>116</v>
      </c>
      <c r="AD622" t="s">
        <v>1018</v>
      </c>
      <c r="AF622">
        <v>2023</v>
      </c>
      <c r="AG622">
        <v>30</v>
      </c>
      <c r="AH622" t="str">
        <f t="shared" si="59"/>
        <v>1</v>
      </c>
      <c r="AI622" t="str">
        <f>"00026"</f>
        <v>00026</v>
      </c>
      <c r="AJ622" s="1">
        <v>44937</v>
      </c>
      <c r="AK622" t="s">
        <v>1042</v>
      </c>
      <c r="AL622">
        <v>706.38</v>
      </c>
      <c r="AM622" t="str">
        <f>"8809205150"</f>
        <v>8809205150</v>
      </c>
      <c r="AN622">
        <v>2023</v>
      </c>
      <c r="AO622">
        <v>37</v>
      </c>
      <c r="AP622">
        <v>706.38</v>
      </c>
      <c r="AQ622">
        <v>0</v>
      </c>
      <c r="AR622">
        <v>127.38</v>
      </c>
      <c r="AS622" t="s">
        <v>177</v>
      </c>
      <c r="AT622">
        <v>579</v>
      </c>
      <c r="AU622">
        <v>127.38</v>
      </c>
      <c r="AV622">
        <v>2023</v>
      </c>
      <c r="AW622">
        <v>128</v>
      </c>
      <c r="AX622">
        <v>670</v>
      </c>
      <c r="AY622">
        <v>0</v>
      </c>
      <c r="AZ622" t="s">
        <v>1043</v>
      </c>
      <c r="BA622">
        <v>706.38</v>
      </c>
      <c r="BB622" s="1">
        <v>44982</v>
      </c>
    </row>
    <row r="623" spans="1:54" x14ac:dyDescent="0.25">
      <c r="A623">
        <v>2023</v>
      </c>
      <c r="B623">
        <v>272</v>
      </c>
      <c r="C623" s="1">
        <v>44982</v>
      </c>
      <c r="D623">
        <v>2023</v>
      </c>
      <c r="E623">
        <v>2021</v>
      </c>
      <c r="F623">
        <v>723</v>
      </c>
      <c r="H623" t="s">
        <v>1044</v>
      </c>
      <c r="I623">
        <v>149</v>
      </c>
      <c r="J623">
        <v>0</v>
      </c>
      <c r="K623" t="s">
        <v>277</v>
      </c>
      <c r="R623" t="s">
        <v>1045</v>
      </c>
      <c r="S623" t="str">
        <f>"31"</f>
        <v>31</v>
      </c>
      <c r="T623" t="s">
        <v>122</v>
      </c>
      <c r="W623" t="s">
        <v>1046</v>
      </c>
      <c r="Y623">
        <v>3648</v>
      </c>
      <c r="Z623" t="s">
        <v>1017</v>
      </c>
      <c r="AB623" t="str">
        <f t="shared" si="61"/>
        <v>04459390276</v>
      </c>
      <c r="AC623" t="s">
        <v>116</v>
      </c>
      <c r="AD623" t="s">
        <v>1018</v>
      </c>
      <c r="AF623">
        <v>2023</v>
      </c>
      <c r="AG623">
        <v>31</v>
      </c>
      <c r="AH623" t="str">
        <f t="shared" si="59"/>
        <v>1</v>
      </c>
      <c r="AI623" t="str">
        <f>"00027"</f>
        <v>00027</v>
      </c>
      <c r="AJ623" s="1">
        <v>44937</v>
      </c>
      <c r="AK623" t="s">
        <v>1047</v>
      </c>
      <c r="AL623">
        <v>746.64</v>
      </c>
      <c r="AM623" t="str">
        <f>"8809208469"</f>
        <v>8809208469</v>
      </c>
      <c r="AN623">
        <v>2023</v>
      </c>
      <c r="AO623">
        <v>206</v>
      </c>
      <c r="AP623">
        <v>706.72</v>
      </c>
      <c r="AQ623">
        <v>0</v>
      </c>
      <c r="AR623">
        <v>134.63999999999999</v>
      </c>
      <c r="AS623" t="s">
        <v>177</v>
      </c>
      <c r="AT623">
        <v>612</v>
      </c>
      <c r="AU623">
        <v>134.63999999999999</v>
      </c>
      <c r="AV623">
        <v>2023</v>
      </c>
      <c r="AW623">
        <v>129</v>
      </c>
      <c r="AX623">
        <v>670</v>
      </c>
      <c r="AY623">
        <v>0</v>
      </c>
      <c r="AZ623" t="s">
        <v>1048</v>
      </c>
      <c r="BA623">
        <v>706.72</v>
      </c>
      <c r="BB623" s="1">
        <v>44982</v>
      </c>
    </row>
    <row r="624" spans="1:54" x14ac:dyDescent="0.25">
      <c r="A624">
        <v>2023</v>
      </c>
      <c r="B624">
        <v>273</v>
      </c>
      <c r="C624" s="1">
        <v>44982</v>
      </c>
      <c r="D624">
        <v>2023</v>
      </c>
      <c r="E624">
        <v>2023</v>
      </c>
      <c r="F624">
        <v>53</v>
      </c>
      <c r="H624" t="s">
        <v>1049</v>
      </c>
      <c r="I624">
        <v>149</v>
      </c>
      <c r="J624">
        <v>0</v>
      </c>
      <c r="K624" t="s">
        <v>277</v>
      </c>
      <c r="R624" t="s">
        <v>1045</v>
      </c>
      <c r="S624" t="str">
        <f>"30"</f>
        <v>30</v>
      </c>
      <c r="T624" t="s">
        <v>78</v>
      </c>
      <c r="W624" t="s">
        <v>1046</v>
      </c>
      <c r="Y624">
        <v>3648</v>
      </c>
      <c r="Z624" t="s">
        <v>1017</v>
      </c>
      <c r="AB624" t="str">
        <f t="shared" si="61"/>
        <v>04459390276</v>
      </c>
      <c r="AC624" t="s">
        <v>116</v>
      </c>
      <c r="AD624" t="s">
        <v>1018</v>
      </c>
      <c r="AF624">
        <v>2023</v>
      </c>
      <c r="AG624">
        <v>31</v>
      </c>
      <c r="AH624" t="str">
        <f t="shared" si="59"/>
        <v>1</v>
      </c>
      <c r="AI624" t="str">
        <f>"00027"</f>
        <v>00027</v>
      </c>
      <c r="AJ624" s="1">
        <v>44937</v>
      </c>
      <c r="AK624" t="s">
        <v>1047</v>
      </c>
      <c r="AL624">
        <v>746.64</v>
      </c>
      <c r="AM624" t="str">
        <f>"8809208469"</f>
        <v>8809208469</v>
      </c>
      <c r="AN624">
        <v>2023</v>
      </c>
      <c r="AO624">
        <v>207</v>
      </c>
      <c r="AP624">
        <v>39.92</v>
      </c>
      <c r="AQ624">
        <v>0</v>
      </c>
      <c r="AR624">
        <v>0</v>
      </c>
      <c r="BA624">
        <v>39.92</v>
      </c>
      <c r="BB624" s="1">
        <v>44982</v>
      </c>
    </row>
    <row r="625" spans="1:54" x14ac:dyDescent="0.25">
      <c r="A625">
        <v>2023</v>
      </c>
      <c r="B625">
        <v>274</v>
      </c>
      <c r="C625" s="1">
        <v>44982</v>
      </c>
      <c r="D625">
        <v>2023</v>
      </c>
      <c r="E625">
        <v>2022</v>
      </c>
      <c r="F625">
        <v>688</v>
      </c>
      <c r="H625" t="s">
        <v>1050</v>
      </c>
      <c r="I625">
        <v>149</v>
      </c>
      <c r="J625">
        <v>0</v>
      </c>
      <c r="K625" t="s">
        <v>277</v>
      </c>
      <c r="R625" t="s">
        <v>1051</v>
      </c>
      <c r="S625" t="str">
        <f>"30"</f>
        <v>30</v>
      </c>
      <c r="T625" t="s">
        <v>78</v>
      </c>
      <c r="W625" t="s">
        <v>1052</v>
      </c>
      <c r="Y625">
        <v>3648</v>
      </c>
      <c r="Z625" t="s">
        <v>1017</v>
      </c>
      <c r="AB625" t="str">
        <f t="shared" si="61"/>
        <v>04459390276</v>
      </c>
      <c r="AC625" t="s">
        <v>116</v>
      </c>
      <c r="AD625" t="s">
        <v>1018</v>
      </c>
      <c r="AF625">
        <v>2023</v>
      </c>
      <c r="AG625">
        <v>328</v>
      </c>
      <c r="AH625" t="str">
        <f t="shared" si="59"/>
        <v>1</v>
      </c>
      <c r="AI625" t="str">
        <f>"00104"</f>
        <v>00104</v>
      </c>
      <c r="AJ625" s="1">
        <v>44957</v>
      </c>
      <c r="AK625" t="s">
        <v>1052</v>
      </c>
      <c r="AL625" s="2">
        <v>1033.3399999999999</v>
      </c>
      <c r="AM625" t="str">
        <f>"8955316108"</f>
        <v>8955316108</v>
      </c>
      <c r="AN625">
        <v>2023</v>
      </c>
      <c r="AO625">
        <v>208</v>
      </c>
      <c r="AP625" s="2">
        <v>1033.3399999999999</v>
      </c>
      <c r="AQ625">
        <v>0</v>
      </c>
      <c r="AR625">
        <v>186.34</v>
      </c>
      <c r="AS625" t="s">
        <v>177</v>
      </c>
      <c r="AT625">
        <v>847</v>
      </c>
      <c r="AU625">
        <v>186.34</v>
      </c>
      <c r="AV625">
        <v>2023</v>
      </c>
      <c r="AW625">
        <v>130</v>
      </c>
      <c r="AX625">
        <v>670</v>
      </c>
      <c r="AY625">
        <v>0</v>
      </c>
      <c r="AZ625" t="s">
        <v>1053</v>
      </c>
      <c r="BA625">
        <v>1033.3399999999999</v>
      </c>
      <c r="BB625" s="1">
        <v>44982</v>
      </c>
    </row>
    <row r="626" spans="1:54" x14ac:dyDescent="0.25">
      <c r="A626">
        <v>2023</v>
      </c>
      <c r="B626">
        <v>275</v>
      </c>
      <c r="C626" s="1">
        <v>44982</v>
      </c>
      <c r="D626">
        <v>2023</v>
      </c>
      <c r="E626">
        <v>2022</v>
      </c>
      <c r="F626">
        <v>111</v>
      </c>
      <c r="H626" t="s">
        <v>1054</v>
      </c>
      <c r="I626">
        <v>119</v>
      </c>
      <c r="J626">
        <v>0</v>
      </c>
      <c r="K626" t="s">
        <v>137</v>
      </c>
      <c r="R626" t="s">
        <v>403</v>
      </c>
      <c r="S626" t="str">
        <f>"31"</f>
        <v>31</v>
      </c>
      <c r="T626" t="s">
        <v>122</v>
      </c>
      <c r="W626" t="s">
        <v>1055</v>
      </c>
      <c r="Y626">
        <v>3272</v>
      </c>
      <c r="Z626" t="s">
        <v>405</v>
      </c>
      <c r="AB626" t="str">
        <f>"03247700275"</f>
        <v>03247700275</v>
      </c>
      <c r="AC626" t="s">
        <v>116</v>
      </c>
      <c r="AD626" t="s">
        <v>406</v>
      </c>
      <c r="AF626">
        <v>2022</v>
      </c>
      <c r="AG626">
        <v>4005</v>
      </c>
      <c r="AH626" t="str">
        <f t="shared" si="59"/>
        <v>1</v>
      </c>
      <c r="AI626" t="s">
        <v>1056</v>
      </c>
      <c r="AJ626" s="1">
        <v>44917</v>
      </c>
      <c r="AK626" t="s">
        <v>1055</v>
      </c>
      <c r="AL626">
        <v>45.01</v>
      </c>
      <c r="AM626" t="str">
        <f>"8705819161"</f>
        <v>8705819161</v>
      </c>
      <c r="AN626">
        <v>2023</v>
      </c>
      <c r="AO626">
        <v>170</v>
      </c>
      <c r="AP626">
        <v>45.01</v>
      </c>
      <c r="AQ626">
        <v>0</v>
      </c>
      <c r="AR626">
        <v>8.1199999999999992</v>
      </c>
      <c r="AS626" t="s">
        <v>177</v>
      </c>
      <c r="AT626">
        <v>36.89</v>
      </c>
      <c r="AU626">
        <v>8.1199999999999992</v>
      </c>
      <c r="AV626">
        <v>2023</v>
      </c>
      <c r="AW626">
        <v>131</v>
      </c>
      <c r="AX626">
        <v>670</v>
      </c>
      <c r="AY626">
        <v>0</v>
      </c>
      <c r="AZ626" t="s">
        <v>1057</v>
      </c>
      <c r="BA626">
        <v>45.01</v>
      </c>
      <c r="BB626" s="1">
        <v>44982</v>
      </c>
    </row>
    <row r="627" spans="1:54" x14ac:dyDescent="0.25">
      <c r="A627">
        <v>2023</v>
      </c>
      <c r="B627">
        <v>276</v>
      </c>
      <c r="C627" s="1">
        <v>44982</v>
      </c>
      <c r="D627">
        <v>2023</v>
      </c>
      <c r="E627">
        <v>2022</v>
      </c>
      <c r="F627">
        <v>107</v>
      </c>
      <c r="H627" t="s">
        <v>402</v>
      </c>
      <c r="I627">
        <v>119</v>
      </c>
      <c r="J627">
        <v>0</v>
      </c>
      <c r="K627" t="s">
        <v>137</v>
      </c>
      <c r="R627" t="s">
        <v>403</v>
      </c>
      <c r="S627" t="str">
        <f>"30"</f>
        <v>30</v>
      </c>
      <c r="T627" t="s">
        <v>78</v>
      </c>
      <c r="W627" t="s">
        <v>1058</v>
      </c>
      <c r="Y627">
        <v>3272</v>
      </c>
      <c r="Z627" t="s">
        <v>405</v>
      </c>
      <c r="AB627" t="str">
        <f>"03247700275"</f>
        <v>03247700275</v>
      </c>
      <c r="AC627" t="s">
        <v>116</v>
      </c>
      <c r="AD627" t="s">
        <v>406</v>
      </c>
      <c r="AF627">
        <v>2023</v>
      </c>
      <c r="AG627">
        <v>372</v>
      </c>
      <c r="AH627" t="str">
        <f t="shared" si="59"/>
        <v>1</v>
      </c>
      <c r="AI627" t="s">
        <v>1059</v>
      </c>
      <c r="AJ627" s="1">
        <v>44957</v>
      </c>
      <c r="AK627" t="s">
        <v>1058</v>
      </c>
      <c r="AL627">
        <v>274.5</v>
      </c>
      <c r="AM627" t="str">
        <f>"8946845575"</f>
        <v>8946845575</v>
      </c>
      <c r="AN627">
        <v>2023</v>
      </c>
      <c r="AO627">
        <v>221</v>
      </c>
      <c r="AP627">
        <v>274.5</v>
      </c>
      <c r="AQ627">
        <v>0</v>
      </c>
      <c r="AR627">
        <v>49.5</v>
      </c>
      <c r="AS627" t="s">
        <v>177</v>
      </c>
      <c r="AT627">
        <v>225</v>
      </c>
      <c r="AU627">
        <v>49.5</v>
      </c>
      <c r="AV627">
        <v>2023</v>
      </c>
      <c r="AW627">
        <v>132</v>
      </c>
      <c r="AX627">
        <v>670</v>
      </c>
      <c r="AY627">
        <v>0</v>
      </c>
      <c r="AZ627" t="s">
        <v>1060</v>
      </c>
      <c r="BA627">
        <v>274.5</v>
      </c>
      <c r="BB627" s="1">
        <v>44982</v>
      </c>
    </row>
    <row r="628" spans="1:54" x14ac:dyDescent="0.25">
      <c r="A628">
        <v>2023</v>
      </c>
      <c r="B628">
        <v>277</v>
      </c>
      <c r="C628" s="1">
        <v>44982</v>
      </c>
      <c r="D628">
        <v>2023</v>
      </c>
      <c r="E628">
        <v>2022</v>
      </c>
      <c r="F628">
        <v>54</v>
      </c>
      <c r="H628" t="s">
        <v>1061</v>
      </c>
      <c r="I628">
        <v>149</v>
      </c>
      <c r="J628">
        <v>0</v>
      </c>
      <c r="K628" t="s">
        <v>277</v>
      </c>
      <c r="R628" t="s">
        <v>1062</v>
      </c>
      <c r="S628" t="str">
        <f>"31"</f>
        <v>31</v>
      </c>
      <c r="T628" t="s">
        <v>122</v>
      </c>
      <c r="W628" t="s">
        <v>1063</v>
      </c>
      <c r="Y628">
        <v>2856</v>
      </c>
      <c r="Z628" t="s">
        <v>1064</v>
      </c>
      <c r="AB628" t="str">
        <f>"03707160275"</f>
        <v>03707160275</v>
      </c>
      <c r="AC628" t="s">
        <v>116</v>
      </c>
      <c r="AD628" t="s">
        <v>1065</v>
      </c>
      <c r="AF628">
        <v>2022</v>
      </c>
      <c r="AG628">
        <v>3712</v>
      </c>
      <c r="AH628" t="str">
        <f t="shared" si="59"/>
        <v>1</v>
      </c>
      <c r="AI628" t="str">
        <f>"1254"</f>
        <v>1254</v>
      </c>
      <c r="AJ628" s="1">
        <v>44902</v>
      </c>
      <c r="AK628" t="s">
        <v>1066</v>
      </c>
      <c r="AL628">
        <v>78.3</v>
      </c>
      <c r="AM628" t="str">
        <f>"8587816717"</f>
        <v>8587816717</v>
      </c>
      <c r="AN628">
        <v>2023</v>
      </c>
      <c r="AO628">
        <v>53</v>
      </c>
      <c r="AP628">
        <v>78.3</v>
      </c>
      <c r="AQ628">
        <v>0</v>
      </c>
      <c r="AR628">
        <v>36.270000000000003</v>
      </c>
      <c r="AS628" t="s">
        <v>177</v>
      </c>
      <c r="AT628">
        <v>54.95</v>
      </c>
      <c r="AU628">
        <v>12.09</v>
      </c>
      <c r="AV628">
        <v>2023</v>
      </c>
      <c r="AW628">
        <v>133</v>
      </c>
      <c r="AX628">
        <v>670</v>
      </c>
      <c r="AY628">
        <v>0</v>
      </c>
      <c r="AZ628" t="s">
        <v>1067</v>
      </c>
      <c r="BA628">
        <v>78.3</v>
      </c>
      <c r="BB628" s="1">
        <v>44982</v>
      </c>
    </row>
    <row r="629" spans="1:54" x14ac:dyDescent="0.25">
      <c r="A629">
        <v>2023</v>
      </c>
      <c r="B629">
        <v>277</v>
      </c>
      <c r="C629" s="1">
        <v>44982</v>
      </c>
      <c r="D629">
        <v>2023</v>
      </c>
      <c r="E629">
        <v>2022</v>
      </c>
      <c r="F629">
        <v>54</v>
      </c>
      <c r="H629" t="s">
        <v>1061</v>
      </c>
      <c r="I629">
        <v>149</v>
      </c>
      <c r="J629">
        <v>0</v>
      </c>
      <c r="K629" t="s">
        <v>277</v>
      </c>
      <c r="R629" t="s">
        <v>1062</v>
      </c>
      <c r="S629" t="str">
        <f>"31"</f>
        <v>31</v>
      </c>
      <c r="T629" t="s">
        <v>122</v>
      </c>
      <c r="W629" t="s">
        <v>1063</v>
      </c>
      <c r="Y629">
        <v>2856</v>
      </c>
      <c r="Z629" t="s">
        <v>1064</v>
      </c>
      <c r="AB629" t="str">
        <f>"03707160275"</f>
        <v>03707160275</v>
      </c>
      <c r="AC629" t="s">
        <v>116</v>
      </c>
      <c r="AD629" t="s">
        <v>1065</v>
      </c>
      <c r="AF629">
        <v>2022</v>
      </c>
      <c r="AG629">
        <v>4032</v>
      </c>
      <c r="AH629" t="str">
        <f t="shared" si="59"/>
        <v>1</v>
      </c>
      <c r="AI629" t="str">
        <f>"1305"</f>
        <v>1305</v>
      </c>
      <c r="AJ629" s="1">
        <v>44923</v>
      </c>
      <c r="AK629" t="s">
        <v>1068</v>
      </c>
      <c r="AL629">
        <v>78.3</v>
      </c>
      <c r="AM629" t="str">
        <f>"8728963907"</f>
        <v>8728963907</v>
      </c>
      <c r="AN629">
        <v>2023</v>
      </c>
      <c r="AO629">
        <v>53</v>
      </c>
      <c r="AP629">
        <v>78.3</v>
      </c>
      <c r="AQ629">
        <v>0</v>
      </c>
      <c r="AR629">
        <v>36.270000000000003</v>
      </c>
      <c r="AS629" t="s">
        <v>177</v>
      </c>
      <c r="AT629">
        <v>54.95</v>
      </c>
      <c r="AU629">
        <v>12.09</v>
      </c>
      <c r="AV629">
        <v>2023</v>
      </c>
      <c r="AW629">
        <v>133</v>
      </c>
      <c r="AX629">
        <v>670</v>
      </c>
      <c r="AY629">
        <v>0</v>
      </c>
      <c r="AZ629" t="s">
        <v>1067</v>
      </c>
      <c r="BA629">
        <v>78.3</v>
      </c>
      <c r="BB629" s="1">
        <v>44982</v>
      </c>
    </row>
    <row r="630" spans="1:54" x14ac:dyDescent="0.25">
      <c r="A630">
        <v>2023</v>
      </c>
      <c r="B630">
        <v>277</v>
      </c>
      <c r="C630" s="1">
        <v>44982</v>
      </c>
      <c r="D630">
        <v>2023</v>
      </c>
      <c r="E630">
        <v>2022</v>
      </c>
      <c r="F630">
        <v>54</v>
      </c>
      <c r="H630" t="s">
        <v>1061</v>
      </c>
      <c r="I630">
        <v>149</v>
      </c>
      <c r="J630">
        <v>0</v>
      </c>
      <c r="K630" t="s">
        <v>277</v>
      </c>
      <c r="R630" t="s">
        <v>1062</v>
      </c>
      <c r="S630" t="str">
        <f>"31"</f>
        <v>31</v>
      </c>
      <c r="T630" t="s">
        <v>122</v>
      </c>
      <c r="W630" t="s">
        <v>1063</v>
      </c>
      <c r="Y630">
        <v>2856</v>
      </c>
      <c r="Z630" t="s">
        <v>1064</v>
      </c>
      <c r="AB630" t="str">
        <f>"03707160275"</f>
        <v>03707160275</v>
      </c>
      <c r="AC630" t="s">
        <v>116</v>
      </c>
      <c r="AD630" t="s">
        <v>1065</v>
      </c>
      <c r="AF630">
        <v>2022</v>
      </c>
      <c r="AG630">
        <v>4033</v>
      </c>
      <c r="AH630" t="str">
        <f t="shared" si="59"/>
        <v>1</v>
      </c>
      <c r="AI630" t="str">
        <f>"1308"</f>
        <v>1308</v>
      </c>
      <c r="AJ630" s="1">
        <v>44924</v>
      </c>
      <c r="AK630" t="s">
        <v>1069</v>
      </c>
      <c r="AL630">
        <v>78.3</v>
      </c>
      <c r="AM630" t="str">
        <f>"8736491362"</f>
        <v>8736491362</v>
      </c>
      <c r="AN630">
        <v>2023</v>
      </c>
      <c r="AO630">
        <v>53</v>
      </c>
      <c r="AP630">
        <v>78.3</v>
      </c>
      <c r="AQ630">
        <v>0</v>
      </c>
      <c r="AR630">
        <v>36.270000000000003</v>
      </c>
      <c r="AS630" t="s">
        <v>177</v>
      </c>
      <c r="AT630">
        <v>54.95</v>
      </c>
      <c r="AU630">
        <v>12.09</v>
      </c>
      <c r="AV630">
        <v>2023</v>
      </c>
      <c r="AW630">
        <v>133</v>
      </c>
      <c r="AX630">
        <v>670</v>
      </c>
      <c r="AY630">
        <v>0</v>
      </c>
      <c r="AZ630" t="s">
        <v>1067</v>
      </c>
      <c r="BA630">
        <v>78.3</v>
      </c>
      <c r="BB630" s="1">
        <v>44982</v>
      </c>
    </row>
    <row r="631" spans="1:54" x14ac:dyDescent="0.25">
      <c r="A631">
        <v>2023</v>
      </c>
      <c r="B631">
        <v>278</v>
      </c>
      <c r="C631" s="1">
        <v>44982</v>
      </c>
      <c r="D631">
        <v>2023</v>
      </c>
      <c r="E631">
        <v>2023</v>
      </c>
      <c r="F631">
        <v>14</v>
      </c>
      <c r="H631" t="s">
        <v>852</v>
      </c>
      <c r="I631">
        <v>130</v>
      </c>
      <c r="J631">
        <v>0</v>
      </c>
      <c r="K631" t="s">
        <v>128</v>
      </c>
      <c r="R631" t="s">
        <v>190</v>
      </c>
      <c r="S631" t="str">
        <f>"31"</f>
        <v>31</v>
      </c>
      <c r="T631" t="s">
        <v>122</v>
      </c>
      <c r="W631" t="s">
        <v>850</v>
      </c>
      <c r="Y631">
        <v>3344</v>
      </c>
      <c r="Z631" t="s">
        <v>192</v>
      </c>
      <c r="AB631" t="str">
        <f>"02616630022"</f>
        <v>02616630022</v>
      </c>
      <c r="AC631" t="s">
        <v>116</v>
      </c>
      <c r="AD631" t="s">
        <v>193</v>
      </c>
      <c r="AF631">
        <v>2023</v>
      </c>
      <c r="AG631">
        <v>160</v>
      </c>
      <c r="AH631" t="str">
        <f t="shared" si="59"/>
        <v>1</v>
      </c>
      <c r="AI631" t="str">
        <f>"5230005608"</f>
        <v>5230005608</v>
      </c>
      <c r="AJ631" s="1">
        <v>44944</v>
      </c>
      <c r="AL631">
        <v>11.96</v>
      </c>
      <c r="AM631" t="str">
        <f>"8869317526"</f>
        <v>8869317526</v>
      </c>
      <c r="AN631">
        <v>2023</v>
      </c>
      <c r="AO631">
        <v>243</v>
      </c>
      <c r="AP631">
        <v>11.96</v>
      </c>
      <c r="AQ631">
        <v>0</v>
      </c>
      <c r="AR631">
        <v>1.96</v>
      </c>
      <c r="AS631" t="s">
        <v>194</v>
      </c>
      <c r="AT631">
        <v>10.87</v>
      </c>
      <c r="AU631">
        <v>1.0900000000000001</v>
      </c>
      <c r="AV631">
        <v>2023</v>
      </c>
      <c r="AW631">
        <v>134</v>
      </c>
      <c r="AX631">
        <v>670</v>
      </c>
      <c r="AY631">
        <v>0</v>
      </c>
      <c r="AZ631" t="s">
        <v>1070</v>
      </c>
      <c r="BA631">
        <v>11.96</v>
      </c>
      <c r="BB631" s="1">
        <v>44984</v>
      </c>
    </row>
    <row r="632" spans="1:54" x14ac:dyDescent="0.25">
      <c r="A632">
        <v>2023</v>
      </c>
      <c r="B632">
        <v>278</v>
      </c>
      <c r="C632" s="1">
        <v>44982</v>
      </c>
      <c r="D632">
        <v>2023</v>
      </c>
      <c r="E632">
        <v>2023</v>
      </c>
      <c r="F632">
        <v>14</v>
      </c>
      <c r="H632" t="s">
        <v>852</v>
      </c>
      <c r="I632">
        <v>130</v>
      </c>
      <c r="J632">
        <v>0</v>
      </c>
      <c r="K632" t="s">
        <v>128</v>
      </c>
      <c r="R632" t="s">
        <v>190</v>
      </c>
      <c r="S632" t="str">
        <f>"31"</f>
        <v>31</v>
      </c>
      <c r="T632" t="s">
        <v>122</v>
      </c>
      <c r="W632" t="s">
        <v>850</v>
      </c>
      <c r="Y632">
        <v>3344</v>
      </c>
      <c r="Z632" t="s">
        <v>192</v>
      </c>
      <c r="AB632" t="str">
        <f>"02616630022"</f>
        <v>02616630022</v>
      </c>
      <c r="AC632" t="s">
        <v>116</v>
      </c>
      <c r="AD632" t="s">
        <v>193</v>
      </c>
      <c r="AF632">
        <v>2023</v>
      </c>
      <c r="AG632">
        <v>163</v>
      </c>
      <c r="AH632" t="str">
        <f t="shared" si="59"/>
        <v>1</v>
      </c>
      <c r="AI632" t="str">
        <f>"5230005632"</f>
        <v>5230005632</v>
      </c>
      <c r="AJ632" s="1">
        <v>44944</v>
      </c>
      <c r="AL632">
        <v>9.5500000000000007</v>
      </c>
      <c r="AM632" t="str">
        <f>"8869334529"</f>
        <v>8869334529</v>
      </c>
      <c r="AN632">
        <v>2023</v>
      </c>
      <c r="AO632">
        <v>243</v>
      </c>
      <c r="AP632">
        <v>9.5500000000000007</v>
      </c>
      <c r="AQ632">
        <v>0</v>
      </c>
      <c r="AR632">
        <v>1.96</v>
      </c>
      <c r="AS632" t="s">
        <v>194</v>
      </c>
      <c r="AT632">
        <v>8.68</v>
      </c>
      <c r="AU632">
        <v>0.87</v>
      </c>
      <c r="AV632">
        <v>2023</v>
      </c>
      <c r="AW632">
        <v>134</v>
      </c>
      <c r="AX632">
        <v>670</v>
      </c>
      <c r="AY632">
        <v>0</v>
      </c>
      <c r="AZ632" t="s">
        <v>1070</v>
      </c>
      <c r="BA632">
        <v>9.5500000000000007</v>
      </c>
      <c r="BB632" s="1">
        <v>44984</v>
      </c>
    </row>
    <row r="633" spans="1:54" x14ac:dyDescent="0.25">
      <c r="A633">
        <v>2023</v>
      </c>
      <c r="B633">
        <v>279</v>
      </c>
      <c r="C633" s="1">
        <v>44982</v>
      </c>
      <c r="D633">
        <v>2023</v>
      </c>
      <c r="E633">
        <v>2022</v>
      </c>
      <c r="F633">
        <v>657</v>
      </c>
      <c r="H633" t="s">
        <v>1071</v>
      </c>
      <c r="I633">
        <v>120</v>
      </c>
      <c r="J633">
        <v>0</v>
      </c>
      <c r="K633" t="s">
        <v>120</v>
      </c>
      <c r="R633" t="s">
        <v>1072</v>
      </c>
      <c r="S633" t="str">
        <f>"30"</f>
        <v>30</v>
      </c>
      <c r="T633" t="s">
        <v>78</v>
      </c>
      <c r="W633" t="s">
        <v>1073</v>
      </c>
      <c r="Y633">
        <v>4584</v>
      </c>
      <c r="Z633" t="s">
        <v>1074</v>
      </c>
      <c r="AB633" t="str">
        <f>"06993260485"</f>
        <v>06993260485</v>
      </c>
      <c r="AC633" t="s">
        <v>116</v>
      </c>
      <c r="AD633" t="s">
        <v>1075</v>
      </c>
      <c r="AF633">
        <v>2022</v>
      </c>
      <c r="AG633">
        <v>3821</v>
      </c>
      <c r="AH633" t="str">
        <f t="shared" si="59"/>
        <v>1</v>
      </c>
      <c r="AI633" t="str">
        <f>"1359"</f>
        <v>1359</v>
      </c>
      <c r="AJ633" s="1">
        <v>44908</v>
      </c>
      <c r="AK633" t="s">
        <v>1073</v>
      </c>
      <c r="AL633" s="2">
        <v>3200</v>
      </c>
      <c r="AM633" t="str">
        <f>"8654799167"</f>
        <v>8654799167</v>
      </c>
      <c r="AN633">
        <v>2023</v>
      </c>
      <c r="AO633">
        <v>246</v>
      </c>
      <c r="AP633" s="2">
        <v>3200</v>
      </c>
      <c r="AQ633">
        <v>0</v>
      </c>
      <c r="AR633">
        <v>0</v>
      </c>
      <c r="BA633">
        <v>3200</v>
      </c>
      <c r="BB633" s="1">
        <v>44982</v>
      </c>
    </row>
    <row r="634" spans="1:54" x14ac:dyDescent="0.25">
      <c r="A634">
        <v>2023</v>
      </c>
      <c r="B634">
        <v>280</v>
      </c>
      <c r="C634" s="1">
        <v>44982</v>
      </c>
      <c r="D634">
        <v>2023</v>
      </c>
      <c r="E634">
        <v>2022</v>
      </c>
      <c r="F634">
        <v>546</v>
      </c>
      <c r="H634" t="s">
        <v>1076</v>
      </c>
      <c r="I634">
        <v>149</v>
      </c>
      <c r="J634">
        <v>0</v>
      </c>
      <c r="K634" t="s">
        <v>277</v>
      </c>
      <c r="R634" t="s">
        <v>1077</v>
      </c>
      <c r="S634" t="str">
        <f>"32"</f>
        <v>32</v>
      </c>
      <c r="T634" t="s">
        <v>357</v>
      </c>
      <c r="W634" t="s">
        <v>1078</v>
      </c>
      <c r="Y634">
        <v>4305</v>
      </c>
      <c r="Z634" t="s">
        <v>1079</v>
      </c>
      <c r="AB634" t="str">
        <f>"01647260163"</f>
        <v>01647260163</v>
      </c>
      <c r="AC634" t="s">
        <v>116</v>
      </c>
      <c r="AD634" t="s">
        <v>1080</v>
      </c>
      <c r="AF634">
        <v>2022</v>
      </c>
      <c r="AG634">
        <v>4042</v>
      </c>
      <c r="AH634" t="str">
        <f t="shared" si="59"/>
        <v>1</v>
      </c>
      <c r="AI634" t="str">
        <f>"20696"</f>
        <v>20696</v>
      </c>
      <c r="AJ634" s="1">
        <v>44914</v>
      </c>
      <c r="AK634" t="s">
        <v>1081</v>
      </c>
      <c r="AL634" s="2">
        <v>5368</v>
      </c>
      <c r="AM634" t="str">
        <f>"8676136718"</f>
        <v>8676136718</v>
      </c>
      <c r="AN634">
        <v>2023</v>
      </c>
      <c r="AO634">
        <v>267</v>
      </c>
      <c r="AP634" s="2">
        <v>5208.97</v>
      </c>
      <c r="AQ634">
        <v>0</v>
      </c>
      <c r="AR634">
        <v>968</v>
      </c>
      <c r="AS634" t="s">
        <v>177</v>
      </c>
      <c r="AT634">
        <v>4400</v>
      </c>
      <c r="AU634">
        <v>968</v>
      </c>
      <c r="AV634">
        <v>2023</v>
      </c>
      <c r="AW634">
        <v>135</v>
      </c>
      <c r="AX634">
        <v>670</v>
      </c>
      <c r="AY634">
        <v>0</v>
      </c>
      <c r="AZ634" t="s">
        <v>1082</v>
      </c>
      <c r="BA634">
        <v>5208.97</v>
      </c>
      <c r="BB634" s="1">
        <v>44982</v>
      </c>
    </row>
    <row r="635" spans="1:54" x14ac:dyDescent="0.25">
      <c r="A635">
        <v>2023</v>
      </c>
      <c r="B635">
        <v>281</v>
      </c>
      <c r="C635" s="1">
        <v>44982</v>
      </c>
      <c r="D635">
        <v>2023</v>
      </c>
      <c r="E635">
        <v>2021</v>
      </c>
      <c r="F635">
        <v>499</v>
      </c>
      <c r="H635" t="s">
        <v>1083</v>
      </c>
      <c r="I635">
        <v>149</v>
      </c>
      <c r="J635">
        <v>0</v>
      </c>
      <c r="K635" t="s">
        <v>277</v>
      </c>
      <c r="R635" t="s">
        <v>1084</v>
      </c>
      <c r="S635" t="str">
        <f>"32"</f>
        <v>32</v>
      </c>
      <c r="T635" t="s">
        <v>357</v>
      </c>
      <c r="W635" t="s">
        <v>1085</v>
      </c>
      <c r="Y635">
        <v>4305</v>
      </c>
      <c r="Z635" t="s">
        <v>1079</v>
      </c>
      <c r="AB635" t="str">
        <f>"01647260163"</f>
        <v>01647260163</v>
      </c>
      <c r="AC635" t="s">
        <v>116</v>
      </c>
      <c r="AD635" t="s">
        <v>1080</v>
      </c>
      <c r="AF635">
        <v>2022</v>
      </c>
      <c r="AG635">
        <v>4042</v>
      </c>
      <c r="AH635" t="str">
        <f t="shared" si="59"/>
        <v>1</v>
      </c>
      <c r="AI635" t="str">
        <f>"20696"</f>
        <v>20696</v>
      </c>
      <c r="AJ635" s="1">
        <v>44914</v>
      </c>
      <c r="AK635" t="s">
        <v>1081</v>
      </c>
      <c r="AL635" s="2">
        <v>5368</v>
      </c>
      <c r="AM635" t="str">
        <f>"8676136718"</f>
        <v>8676136718</v>
      </c>
      <c r="AN635">
        <v>2023</v>
      </c>
      <c r="AO635">
        <v>266</v>
      </c>
      <c r="AP635">
        <v>159.03</v>
      </c>
      <c r="AQ635">
        <v>0</v>
      </c>
      <c r="AR635">
        <v>0</v>
      </c>
      <c r="BA635">
        <v>159.03</v>
      </c>
      <c r="BB635" s="1">
        <v>44984</v>
      </c>
    </row>
    <row r="636" spans="1:54" x14ac:dyDescent="0.25">
      <c r="A636">
        <v>2023</v>
      </c>
      <c r="B636">
        <v>282</v>
      </c>
      <c r="C636" s="1">
        <v>44982</v>
      </c>
      <c r="D636">
        <v>2023</v>
      </c>
      <c r="E636">
        <v>2022</v>
      </c>
      <c r="F636">
        <v>546</v>
      </c>
      <c r="H636" t="s">
        <v>1076</v>
      </c>
      <c r="I636">
        <v>149</v>
      </c>
      <c r="J636">
        <v>0</v>
      </c>
      <c r="K636" t="s">
        <v>277</v>
      </c>
      <c r="R636" t="s">
        <v>1077</v>
      </c>
      <c r="S636" t="str">
        <f>"32"</f>
        <v>32</v>
      </c>
      <c r="T636" t="s">
        <v>357</v>
      </c>
      <c r="W636" t="s">
        <v>1086</v>
      </c>
      <c r="Y636">
        <v>4305</v>
      </c>
      <c r="Z636" t="s">
        <v>1079</v>
      </c>
      <c r="AB636" t="str">
        <f>"01647260163"</f>
        <v>01647260163</v>
      </c>
      <c r="AC636" t="s">
        <v>116</v>
      </c>
      <c r="AD636" t="s">
        <v>1080</v>
      </c>
      <c r="AF636">
        <v>2023</v>
      </c>
      <c r="AG636">
        <v>8</v>
      </c>
      <c r="AH636" t="str">
        <f t="shared" si="59"/>
        <v>1</v>
      </c>
      <c r="AI636" t="str">
        <f>"21291"</f>
        <v>21291</v>
      </c>
      <c r="AJ636" s="1">
        <v>44926</v>
      </c>
      <c r="AK636" t="s">
        <v>1086</v>
      </c>
      <c r="AL636" s="2">
        <v>2637.47</v>
      </c>
      <c r="AM636" t="str">
        <f>"8794066181"</f>
        <v>8794066181</v>
      </c>
      <c r="AN636">
        <v>2023</v>
      </c>
      <c r="AO636">
        <v>267</v>
      </c>
      <c r="AP636" s="2">
        <v>2637.47</v>
      </c>
      <c r="AQ636">
        <v>0</v>
      </c>
      <c r="AR636" s="2">
        <v>1191.22</v>
      </c>
      <c r="AS636" t="s">
        <v>177</v>
      </c>
      <c r="AT636">
        <v>2161.86</v>
      </c>
      <c r="AU636">
        <v>475.61</v>
      </c>
      <c r="AV636">
        <v>2023</v>
      </c>
      <c r="AW636">
        <v>136</v>
      </c>
      <c r="AX636">
        <v>670</v>
      </c>
      <c r="AY636">
        <v>0</v>
      </c>
      <c r="AZ636" t="s">
        <v>1087</v>
      </c>
      <c r="BA636">
        <v>2637.47</v>
      </c>
      <c r="BB636" s="1">
        <v>44982</v>
      </c>
    </row>
    <row r="637" spans="1:54" x14ac:dyDescent="0.25">
      <c r="A637">
        <v>2023</v>
      </c>
      <c r="B637">
        <v>282</v>
      </c>
      <c r="C637" s="1">
        <v>44982</v>
      </c>
      <c r="D637">
        <v>2023</v>
      </c>
      <c r="E637">
        <v>2022</v>
      </c>
      <c r="F637">
        <v>546</v>
      </c>
      <c r="H637" t="s">
        <v>1076</v>
      </c>
      <c r="I637">
        <v>149</v>
      </c>
      <c r="J637">
        <v>0</v>
      </c>
      <c r="K637" t="s">
        <v>277</v>
      </c>
      <c r="R637" t="s">
        <v>1077</v>
      </c>
      <c r="S637" t="str">
        <f>"32"</f>
        <v>32</v>
      </c>
      <c r="T637" t="s">
        <v>357</v>
      </c>
      <c r="W637" t="s">
        <v>1086</v>
      </c>
      <c r="Y637">
        <v>4305</v>
      </c>
      <c r="Z637" t="s">
        <v>1079</v>
      </c>
      <c r="AB637" t="str">
        <f>"01647260163"</f>
        <v>01647260163</v>
      </c>
      <c r="AC637" t="s">
        <v>116</v>
      </c>
      <c r="AD637" t="s">
        <v>1080</v>
      </c>
      <c r="AF637">
        <v>2023</v>
      </c>
      <c r="AG637">
        <v>90</v>
      </c>
      <c r="AH637" t="str">
        <f t="shared" si="59"/>
        <v>1</v>
      </c>
      <c r="AI637" t="str">
        <f>"1238"</f>
        <v>1238</v>
      </c>
      <c r="AJ637" s="1">
        <v>44957</v>
      </c>
      <c r="AK637" t="s">
        <v>1086</v>
      </c>
      <c r="AL637" s="2">
        <v>3968.38</v>
      </c>
      <c r="AM637" t="str">
        <f>"8956165620"</f>
        <v>8956165620</v>
      </c>
      <c r="AN637">
        <v>2023</v>
      </c>
      <c r="AO637">
        <v>267</v>
      </c>
      <c r="AP637" s="2">
        <v>3968.38</v>
      </c>
      <c r="AQ637">
        <v>0</v>
      </c>
      <c r="AR637" s="2">
        <v>1191.22</v>
      </c>
      <c r="AS637" t="s">
        <v>177</v>
      </c>
      <c r="AT637">
        <v>3252.77</v>
      </c>
      <c r="AU637">
        <v>715.61</v>
      </c>
      <c r="AV637">
        <v>2023</v>
      </c>
      <c r="AW637">
        <v>136</v>
      </c>
      <c r="AX637">
        <v>670</v>
      </c>
      <c r="AY637">
        <v>0</v>
      </c>
      <c r="AZ637" t="s">
        <v>1087</v>
      </c>
      <c r="BA637">
        <v>3968.38</v>
      </c>
      <c r="BB637" s="1">
        <v>44982</v>
      </c>
    </row>
    <row r="638" spans="1:54" x14ac:dyDescent="0.25">
      <c r="A638">
        <v>2023</v>
      </c>
      <c r="B638">
        <v>283</v>
      </c>
      <c r="C638" s="1">
        <v>44982</v>
      </c>
      <c r="D638">
        <v>2023</v>
      </c>
      <c r="E638">
        <v>2022</v>
      </c>
      <c r="F638">
        <v>232</v>
      </c>
      <c r="H638" t="s">
        <v>1088</v>
      </c>
      <c r="I638">
        <v>149</v>
      </c>
      <c r="J638">
        <v>0</v>
      </c>
      <c r="K638" t="s">
        <v>277</v>
      </c>
      <c r="R638" t="s">
        <v>1089</v>
      </c>
      <c r="S638" t="str">
        <f>"32"</f>
        <v>32</v>
      </c>
      <c r="T638" t="s">
        <v>357</v>
      </c>
      <c r="W638" t="s">
        <v>1090</v>
      </c>
      <c r="Y638">
        <v>1380</v>
      </c>
      <c r="Z638" t="s">
        <v>1091</v>
      </c>
      <c r="AB638" t="str">
        <f>"04130410287"</f>
        <v>04130410287</v>
      </c>
      <c r="AC638" t="s">
        <v>116</v>
      </c>
      <c r="AD638" t="s">
        <v>1092</v>
      </c>
      <c r="AF638">
        <v>2022</v>
      </c>
      <c r="AG638">
        <v>3718</v>
      </c>
      <c r="AH638" t="str">
        <f t="shared" si="59"/>
        <v>1</v>
      </c>
      <c r="AI638" t="s">
        <v>1093</v>
      </c>
      <c r="AJ638" s="1">
        <v>44895</v>
      </c>
      <c r="AK638" t="s">
        <v>1090</v>
      </c>
      <c r="AL638" s="2">
        <v>3647.85</v>
      </c>
      <c r="AM638" t="str">
        <f>"8584823054"</f>
        <v>8584823054</v>
      </c>
      <c r="AN638">
        <v>2023</v>
      </c>
      <c r="AO638">
        <v>268</v>
      </c>
      <c r="AP638" s="2">
        <v>3647.85</v>
      </c>
      <c r="AQ638">
        <v>0</v>
      </c>
      <c r="AR638">
        <v>657.81</v>
      </c>
      <c r="AS638" t="s">
        <v>177</v>
      </c>
      <c r="AT638">
        <v>2990.04</v>
      </c>
      <c r="AU638">
        <v>657.81</v>
      </c>
      <c r="AV638">
        <v>2023</v>
      </c>
      <c r="AW638">
        <v>137</v>
      </c>
      <c r="AX638">
        <v>670</v>
      </c>
      <c r="AY638">
        <v>0</v>
      </c>
      <c r="AZ638" t="s">
        <v>1094</v>
      </c>
      <c r="BA638">
        <v>3647.85</v>
      </c>
      <c r="BB638" s="1">
        <v>44982</v>
      </c>
    </row>
    <row r="639" spans="1:54" x14ac:dyDescent="0.25">
      <c r="A639">
        <v>2023</v>
      </c>
      <c r="B639">
        <v>284</v>
      </c>
      <c r="C639" s="1">
        <v>44985</v>
      </c>
      <c r="D639">
        <v>2023</v>
      </c>
      <c r="E639">
        <v>2023</v>
      </c>
      <c r="F639">
        <v>68</v>
      </c>
      <c r="H639" t="s">
        <v>82</v>
      </c>
      <c r="I639">
        <v>420</v>
      </c>
      <c r="J639">
        <v>0</v>
      </c>
      <c r="K639" t="s">
        <v>83</v>
      </c>
      <c r="S639" t="str">
        <f>"31"</f>
        <v>31</v>
      </c>
      <c r="T639" t="s">
        <v>122</v>
      </c>
      <c r="W639" t="s">
        <v>1095</v>
      </c>
      <c r="Y639">
        <v>1765</v>
      </c>
      <c r="Z639" t="s">
        <v>85</v>
      </c>
      <c r="AC639" t="s">
        <v>67</v>
      </c>
      <c r="AF639">
        <v>2023</v>
      </c>
      <c r="AG639">
        <v>570</v>
      </c>
      <c r="AH639" t="s">
        <v>73</v>
      </c>
      <c r="AI639" t="str">
        <f t="shared" ref="AI639:AI649" si="62">"48"</f>
        <v>48</v>
      </c>
      <c r="AJ639" s="1">
        <v>44978</v>
      </c>
      <c r="AK639" t="s">
        <v>1096</v>
      </c>
      <c r="AL639" s="2">
        <v>95269.42</v>
      </c>
      <c r="AP639" s="2">
        <v>54076.98</v>
      </c>
      <c r="AQ639">
        <v>0</v>
      </c>
      <c r="AR639">
        <v>0</v>
      </c>
      <c r="BA639">
        <v>54076.98</v>
      </c>
      <c r="BB639" s="1">
        <v>44985</v>
      </c>
    </row>
    <row r="640" spans="1:54" x14ac:dyDescent="0.25">
      <c r="A640">
        <v>2023</v>
      </c>
      <c r="B640">
        <v>285</v>
      </c>
      <c r="C640" s="1">
        <v>44985</v>
      </c>
      <c r="D640">
        <v>2023</v>
      </c>
      <c r="E640">
        <v>2022</v>
      </c>
      <c r="F640">
        <v>543</v>
      </c>
      <c r="H640" t="s">
        <v>1097</v>
      </c>
      <c r="I640">
        <v>119</v>
      </c>
      <c r="J640">
        <v>0</v>
      </c>
      <c r="K640" t="s">
        <v>137</v>
      </c>
      <c r="S640" t="str">
        <f>"31"</f>
        <v>31</v>
      </c>
      <c r="T640" t="s">
        <v>122</v>
      </c>
      <c r="W640" t="s">
        <v>1098</v>
      </c>
      <c r="Y640">
        <v>1765</v>
      </c>
      <c r="Z640" t="s">
        <v>85</v>
      </c>
      <c r="AC640" t="s">
        <v>67</v>
      </c>
      <c r="AF640">
        <v>2023</v>
      </c>
      <c r="AG640">
        <v>570</v>
      </c>
      <c r="AH640" t="s">
        <v>73</v>
      </c>
      <c r="AI640" t="str">
        <f t="shared" si="62"/>
        <v>48</v>
      </c>
      <c r="AJ640" s="1">
        <v>44978</v>
      </c>
      <c r="AK640" t="s">
        <v>1096</v>
      </c>
      <c r="AL640" s="2">
        <v>95269.42</v>
      </c>
      <c r="AP640" s="2">
        <v>2373.9899999999998</v>
      </c>
      <c r="AQ640">
        <v>0</v>
      </c>
      <c r="AR640">
        <v>0</v>
      </c>
      <c r="BA640">
        <v>2373.9899999999998</v>
      </c>
      <c r="BB640" s="1">
        <v>44985</v>
      </c>
    </row>
    <row r="641" spans="1:54" x14ac:dyDescent="0.25">
      <c r="A641">
        <v>2023</v>
      </c>
      <c r="B641">
        <v>286</v>
      </c>
      <c r="C641" s="1">
        <v>44985</v>
      </c>
      <c r="D641">
        <v>2023</v>
      </c>
      <c r="E641">
        <v>2022</v>
      </c>
      <c r="F641">
        <v>209</v>
      </c>
      <c r="H641" t="s">
        <v>82</v>
      </c>
      <c r="I641">
        <v>420</v>
      </c>
      <c r="J641">
        <v>0</v>
      </c>
      <c r="K641" t="s">
        <v>83</v>
      </c>
      <c r="S641" t="str">
        <f>"31"</f>
        <v>31</v>
      </c>
      <c r="T641" t="s">
        <v>122</v>
      </c>
      <c r="W641" t="s">
        <v>1098</v>
      </c>
      <c r="Y641">
        <v>1765</v>
      </c>
      <c r="Z641" t="s">
        <v>85</v>
      </c>
      <c r="AC641" t="s">
        <v>67</v>
      </c>
      <c r="AF641">
        <v>2023</v>
      </c>
      <c r="AG641">
        <v>570</v>
      </c>
      <c r="AH641" t="s">
        <v>73</v>
      </c>
      <c r="AI641" t="str">
        <f t="shared" si="62"/>
        <v>48</v>
      </c>
      <c r="AJ641" s="1">
        <v>44978</v>
      </c>
      <c r="AK641" t="s">
        <v>1096</v>
      </c>
      <c r="AL641" s="2">
        <v>95269.42</v>
      </c>
      <c r="AP641">
        <v>7.65</v>
      </c>
      <c r="AQ641">
        <v>0</v>
      </c>
      <c r="AR641">
        <v>0</v>
      </c>
      <c r="BA641">
        <v>7.65</v>
      </c>
      <c r="BB641" s="1">
        <v>44985</v>
      </c>
    </row>
    <row r="642" spans="1:54" x14ac:dyDescent="0.25">
      <c r="A642">
        <v>2023</v>
      </c>
      <c r="B642">
        <v>287</v>
      </c>
      <c r="C642" s="1">
        <v>44985</v>
      </c>
      <c r="D642">
        <v>2023</v>
      </c>
      <c r="E642">
        <v>2023</v>
      </c>
      <c r="F642">
        <v>68</v>
      </c>
      <c r="H642" t="s">
        <v>82</v>
      </c>
      <c r="I642">
        <v>420</v>
      </c>
      <c r="J642">
        <v>0</v>
      </c>
      <c r="K642" t="s">
        <v>83</v>
      </c>
      <c r="S642" t="str">
        <f>"31"</f>
        <v>31</v>
      </c>
      <c r="T642" t="s">
        <v>122</v>
      </c>
      <c r="W642" t="s">
        <v>1099</v>
      </c>
      <c r="Y642">
        <v>1765</v>
      </c>
      <c r="Z642" t="s">
        <v>85</v>
      </c>
      <c r="AC642" t="s">
        <v>67</v>
      </c>
      <c r="AF642">
        <v>2023</v>
      </c>
      <c r="AG642">
        <v>570</v>
      </c>
      <c r="AH642" t="s">
        <v>73</v>
      </c>
      <c r="AI642" t="str">
        <f t="shared" si="62"/>
        <v>48</v>
      </c>
      <c r="AJ642" s="1">
        <v>44978</v>
      </c>
      <c r="AK642" t="s">
        <v>1096</v>
      </c>
      <c r="AL642" s="2">
        <v>95269.42</v>
      </c>
      <c r="AP642" s="2">
        <v>33637.800000000003</v>
      </c>
      <c r="AQ642">
        <v>0</v>
      </c>
      <c r="AR642">
        <v>0</v>
      </c>
      <c r="BA642">
        <v>33637.800000000003</v>
      </c>
      <c r="BB642" s="1">
        <v>44985</v>
      </c>
    </row>
    <row r="643" spans="1:54" x14ac:dyDescent="0.25">
      <c r="A643">
        <v>2023</v>
      </c>
      <c r="B643">
        <v>288</v>
      </c>
      <c r="C643" s="1">
        <v>44985</v>
      </c>
      <c r="D643">
        <v>2023</v>
      </c>
      <c r="E643">
        <v>2023</v>
      </c>
      <c r="F643">
        <v>67</v>
      </c>
      <c r="H643" t="s">
        <v>87</v>
      </c>
      <c r="I643">
        <v>420</v>
      </c>
      <c r="J643">
        <v>0</v>
      </c>
      <c r="K643" t="s">
        <v>83</v>
      </c>
      <c r="S643" t="str">
        <f>"31"</f>
        <v>31</v>
      </c>
      <c r="T643" t="s">
        <v>122</v>
      </c>
      <c r="W643" t="s">
        <v>1100</v>
      </c>
      <c r="Y643">
        <v>1765</v>
      </c>
      <c r="Z643" t="s">
        <v>85</v>
      </c>
      <c r="AC643" t="s">
        <v>67</v>
      </c>
      <c r="AF643">
        <v>2023</v>
      </c>
      <c r="AG643">
        <v>570</v>
      </c>
      <c r="AH643" t="s">
        <v>73</v>
      </c>
      <c r="AI643" t="str">
        <f t="shared" si="62"/>
        <v>48</v>
      </c>
      <c r="AJ643" s="1">
        <v>44978</v>
      </c>
      <c r="AK643" t="s">
        <v>1096</v>
      </c>
      <c r="AL643" s="2">
        <v>95269.42</v>
      </c>
      <c r="AP643" s="2">
        <v>5173</v>
      </c>
      <c r="AQ643">
        <v>0</v>
      </c>
      <c r="AR643">
        <v>0</v>
      </c>
      <c r="BA643">
        <v>5173</v>
      </c>
      <c r="BB643" s="1">
        <v>44985</v>
      </c>
    </row>
    <row r="644" spans="1:54" x14ac:dyDescent="0.25">
      <c r="A644">
        <v>2023</v>
      </c>
      <c r="B644">
        <v>289</v>
      </c>
      <c r="C644" s="1">
        <v>44985</v>
      </c>
      <c r="D644">
        <v>2023</v>
      </c>
      <c r="E644">
        <v>2023</v>
      </c>
      <c r="F644">
        <v>28</v>
      </c>
      <c r="H644" t="s">
        <v>798</v>
      </c>
      <c r="I644">
        <v>116</v>
      </c>
      <c r="J644">
        <v>0</v>
      </c>
      <c r="K644" t="s">
        <v>90</v>
      </c>
      <c r="S644" t="str">
        <f t="shared" ref="S644:S651" si="63">"30"</f>
        <v>30</v>
      </c>
      <c r="T644" t="s">
        <v>78</v>
      </c>
      <c r="W644" t="s">
        <v>1101</v>
      </c>
      <c r="Y644">
        <v>184</v>
      </c>
      <c r="Z644" t="s">
        <v>92</v>
      </c>
      <c r="AC644" t="s">
        <v>67</v>
      </c>
      <c r="AF644">
        <v>2023</v>
      </c>
      <c r="AG644">
        <v>571</v>
      </c>
      <c r="AH644" t="s">
        <v>73</v>
      </c>
      <c r="AI644" t="str">
        <f t="shared" si="62"/>
        <v>48</v>
      </c>
      <c r="AJ644" s="1">
        <v>44978</v>
      </c>
      <c r="AK644" t="s">
        <v>1102</v>
      </c>
      <c r="AL644" s="2">
        <v>66259</v>
      </c>
      <c r="AP644" s="2">
        <v>47488.959999999999</v>
      </c>
      <c r="AQ644">
        <v>0</v>
      </c>
      <c r="AR644">
        <v>0</v>
      </c>
      <c r="BA644">
        <v>47488.959999999999</v>
      </c>
      <c r="BB644" s="1">
        <v>44985</v>
      </c>
    </row>
    <row r="645" spans="1:54" x14ac:dyDescent="0.25">
      <c r="A645">
        <v>2023</v>
      </c>
      <c r="B645">
        <v>290</v>
      </c>
      <c r="C645" s="1">
        <v>44985</v>
      </c>
      <c r="D645">
        <v>2023</v>
      </c>
      <c r="E645">
        <v>2023</v>
      </c>
      <c r="F645">
        <v>66</v>
      </c>
      <c r="H645" t="s">
        <v>482</v>
      </c>
      <c r="I645">
        <v>400</v>
      </c>
      <c r="J645">
        <v>0</v>
      </c>
      <c r="K645" t="s">
        <v>95</v>
      </c>
      <c r="S645" t="str">
        <f t="shared" si="63"/>
        <v>30</v>
      </c>
      <c r="T645" t="s">
        <v>78</v>
      </c>
      <c r="W645" t="s">
        <v>1103</v>
      </c>
      <c r="Y645">
        <v>184</v>
      </c>
      <c r="Z645" t="s">
        <v>92</v>
      </c>
      <c r="AC645" t="s">
        <v>67</v>
      </c>
      <c r="AF645">
        <v>2023</v>
      </c>
      <c r="AG645">
        <v>571</v>
      </c>
      <c r="AH645" t="s">
        <v>73</v>
      </c>
      <c r="AI645" t="str">
        <f t="shared" si="62"/>
        <v>48</v>
      </c>
      <c r="AJ645" s="1">
        <v>44978</v>
      </c>
      <c r="AK645" t="s">
        <v>1102</v>
      </c>
      <c r="AL645" s="2">
        <v>66259</v>
      </c>
      <c r="AP645" s="2">
        <v>17866.04</v>
      </c>
      <c r="AQ645">
        <v>0</v>
      </c>
      <c r="AR645">
        <v>0</v>
      </c>
      <c r="BA645">
        <v>17866.04</v>
      </c>
      <c r="BB645" s="1">
        <v>44985</v>
      </c>
    </row>
    <row r="646" spans="1:54" x14ac:dyDescent="0.25">
      <c r="A646">
        <v>2023</v>
      </c>
      <c r="B646">
        <v>291</v>
      </c>
      <c r="C646" s="1">
        <v>44985</v>
      </c>
      <c r="D646">
        <v>2023</v>
      </c>
      <c r="E646">
        <v>2023</v>
      </c>
      <c r="F646">
        <v>38</v>
      </c>
      <c r="H646" t="s">
        <v>224</v>
      </c>
      <c r="I646">
        <v>100</v>
      </c>
      <c r="J646">
        <v>0</v>
      </c>
      <c r="K646" t="s">
        <v>77</v>
      </c>
      <c r="S646" t="str">
        <f t="shared" si="63"/>
        <v>30</v>
      </c>
      <c r="T646" t="s">
        <v>78</v>
      </c>
      <c r="W646" t="s">
        <v>1104</v>
      </c>
      <c r="Y646">
        <v>184</v>
      </c>
      <c r="Z646" t="s">
        <v>92</v>
      </c>
      <c r="AC646" t="s">
        <v>67</v>
      </c>
      <c r="AF646">
        <v>2023</v>
      </c>
      <c r="AG646">
        <v>571</v>
      </c>
      <c r="AH646" t="s">
        <v>73</v>
      </c>
      <c r="AI646" t="str">
        <f t="shared" si="62"/>
        <v>48</v>
      </c>
      <c r="AJ646" s="1">
        <v>44978</v>
      </c>
      <c r="AK646" t="s">
        <v>1102</v>
      </c>
      <c r="AL646" s="2">
        <v>66259</v>
      </c>
      <c r="AP646">
        <v>602.72</v>
      </c>
      <c r="AQ646">
        <v>0</v>
      </c>
      <c r="AR646">
        <v>0</v>
      </c>
      <c r="BA646">
        <v>602.72</v>
      </c>
      <c r="BB646" s="1">
        <v>44985</v>
      </c>
    </row>
    <row r="647" spans="1:54" x14ac:dyDescent="0.25">
      <c r="A647">
        <v>2023</v>
      </c>
      <c r="B647">
        <v>292</v>
      </c>
      <c r="C647" s="1">
        <v>44985</v>
      </c>
      <c r="D647">
        <v>2023</v>
      </c>
      <c r="E647">
        <v>2023</v>
      </c>
      <c r="F647">
        <v>66</v>
      </c>
      <c r="H647" t="s">
        <v>482</v>
      </c>
      <c r="I647">
        <v>400</v>
      </c>
      <c r="J647">
        <v>0</v>
      </c>
      <c r="K647" t="s">
        <v>95</v>
      </c>
      <c r="S647" t="str">
        <f t="shared" si="63"/>
        <v>30</v>
      </c>
      <c r="T647" t="s">
        <v>78</v>
      </c>
      <c r="W647" t="s">
        <v>1104</v>
      </c>
      <c r="Y647">
        <v>184</v>
      </c>
      <c r="Z647" t="s">
        <v>92</v>
      </c>
      <c r="AC647" t="s">
        <v>67</v>
      </c>
      <c r="AF647">
        <v>2023</v>
      </c>
      <c r="AG647">
        <v>571</v>
      </c>
      <c r="AH647" t="s">
        <v>73</v>
      </c>
      <c r="AI647" t="str">
        <f t="shared" si="62"/>
        <v>48</v>
      </c>
      <c r="AJ647" s="1">
        <v>44978</v>
      </c>
      <c r="AK647" t="s">
        <v>1102</v>
      </c>
      <c r="AL647" s="2">
        <v>66259</v>
      </c>
      <c r="AP647">
        <v>301.27999999999997</v>
      </c>
      <c r="AQ647">
        <v>0</v>
      </c>
      <c r="AR647">
        <v>0</v>
      </c>
      <c r="BA647">
        <v>301.27999999999997</v>
      </c>
      <c r="BB647" s="1">
        <v>44985</v>
      </c>
    </row>
    <row r="648" spans="1:54" x14ac:dyDescent="0.25">
      <c r="A648">
        <v>2023</v>
      </c>
      <c r="B648">
        <v>293</v>
      </c>
      <c r="C648" s="1">
        <v>44985</v>
      </c>
      <c r="D648">
        <v>2023</v>
      </c>
      <c r="E648">
        <v>2023</v>
      </c>
      <c r="F648">
        <v>28</v>
      </c>
      <c r="H648" t="s">
        <v>798</v>
      </c>
      <c r="I648">
        <v>116</v>
      </c>
      <c r="J648">
        <v>0</v>
      </c>
      <c r="K648" t="s">
        <v>90</v>
      </c>
      <c r="S648" t="str">
        <f t="shared" si="63"/>
        <v>30</v>
      </c>
      <c r="T648" t="s">
        <v>78</v>
      </c>
      <c r="W648" t="s">
        <v>1105</v>
      </c>
      <c r="Y648">
        <v>185</v>
      </c>
      <c r="Z648" t="s">
        <v>99</v>
      </c>
      <c r="AB648" t="str">
        <f>"97095380586"</f>
        <v>97095380586</v>
      </c>
      <c r="AC648" t="s">
        <v>67</v>
      </c>
      <c r="AF648">
        <v>2023</v>
      </c>
      <c r="AG648">
        <v>572</v>
      </c>
      <c r="AH648" t="s">
        <v>73</v>
      </c>
      <c r="AI648" t="str">
        <f t="shared" si="62"/>
        <v>48</v>
      </c>
      <c r="AJ648" s="1">
        <v>44978</v>
      </c>
      <c r="AK648" t="s">
        <v>1106</v>
      </c>
      <c r="AL648">
        <v>204.49</v>
      </c>
      <c r="AP648">
        <v>175.8</v>
      </c>
      <c r="AQ648">
        <v>0</v>
      </c>
      <c r="AR648">
        <v>0</v>
      </c>
      <c r="BA648">
        <v>175.8</v>
      </c>
      <c r="BB648" s="1">
        <v>44985</v>
      </c>
    </row>
    <row r="649" spans="1:54" x14ac:dyDescent="0.25">
      <c r="A649">
        <v>2023</v>
      </c>
      <c r="B649">
        <v>294</v>
      </c>
      <c r="C649" s="1">
        <v>44985</v>
      </c>
      <c r="D649">
        <v>2023</v>
      </c>
      <c r="E649">
        <v>2023</v>
      </c>
      <c r="F649">
        <v>66</v>
      </c>
      <c r="H649" t="s">
        <v>482</v>
      </c>
      <c r="I649">
        <v>400</v>
      </c>
      <c r="J649">
        <v>0</v>
      </c>
      <c r="K649" t="s">
        <v>95</v>
      </c>
      <c r="S649" t="str">
        <f t="shared" si="63"/>
        <v>30</v>
      </c>
      <c r="T649" t="s">
        <v>78</v>
      </c>
      <c r="W649" t="s">
        <v>1103</v>
      </c>
      <c r="Y649">
        <v>185</v>
      </c>
      <c r="Z649" t="s">
        <v>99</v>
      </c>
      <c r="AB649" t="str">
        <f>"97095380586"</f>
        <v>97095380586</v>
      </c>
      <c r="AC649" t="s">
        <v>67</v>
      </c>
      <c r="AF649">
        <v>2023</v>
      </c>
      <c r="AG649">
        <v>572</v>
      </c>
      <c r="AH649" t="s">
        <v>73</v>
      </c>
      <c r="AI649" t="str">
        <f t="shared" si="62"/>
        <v>48</v>
      </c>
      <c r="AJ649" s="1">
        <v>44978</v>
      </c>
      <c r="AK649" t="s">
        <v>1106</v>
      </c>
      <c r="AL649">
        <v>204.49</v>
      </c>
      <c r="AP649">
        <v>28.69</v>
      </c>
      <c r="AQ649">
        <v>0</v>
      </c>
      <c r="AR649">
        <v>0</v>
      </c>
      <c r="BA649">
        <v>28.69</v>
      </c>
      <c r="BB649" s="1">
        <v>44985</v>
      </c>
    </row>
    <row r="650" spans="1:54" x14ac:dyDescent="0.25">
      <c r="A650">
        <v>2023</v>
      </c>
      <c r="B650">
        <v>295</v>
      </c>
      <c r="C650" s="1">
        <v>44985</v>
      </c>
      <c r="D650">
        <v>2023</v>
      </c>
      <c r="E650">
        <v>2023</v>
      </c>
      <c r="F650">
        <v>38</v>
      </c>
      <c r="H650" t="s">
        <v>224</v>
      </c>
      <c r="I650">
        <v>100</v>
      </c>
      <c r="J650">
        <v>0</v>
      </c>
      <c r="K650" t="s">
        <v>77</v>
      </c>
      <c r="S650" t="str">
        <f t="shared" si="63"/>
        <v>30</v>
      </c>
      <c r="T650" t="s">
        <v>78</v>
      </c>
      <c r="W650" t="s">
        <v>1107</v>
      </c>
      <c r="Y650">
        <v>219</v>
      </c>
      <c r="Z650" t="s">
        <v>1108</v>
      </c>
      <c r="AB650" t="str">
        <f>"01165400589"</f>
        <v>01165400589</v>
      </c>
      <c r="AC650" t="s">
        <v>67</v>
      </c>
      <c r="AF650">
        <v>2023</v>
      </c>
      <c r="AG650">
        <v>573</v>
      </c>
      <c r="AH650" t="s">
        <v>73</v>
      </c>
      <c r="AI650" t="str">
        <f>"44"</f>
        <v>44</v>
      </c>
      <c r="AJ650" s="1">
        <v>44973</v>
      </c>
      <c r="AK650" t="s">
        <v>1107</v>
      </c>
      <c r="AL650">
        <v>229.33</v>
      </c>
      <c r="AP650">
        <v>229.33</v>
      </c>
      <c r="AQ650">
        <v>0</v>
      </c>
      <c r="AR650">
        <v>0</v>
      </c>
      <c r="BA650">
        <v>229.33</v>
      </c>
      <c r="BB650" s="1">
        <v>44985</v>
      </c>
    </row>
    <row r="651" spans="1:54" x14ac:dyDescent="0.25">
      <c r="A651">
        <v>2023</v>
      </c>
      <c r="B651">
        <v>296</v>
      </c>
      <c r="C651" s="1">
        <v>44985</v>
      </c>
      <c r="D651">
        <v>2023</v>
      </c>
      <c r="E651">
        <v>2022</v>
      </c>
      <c r="F651">
        <v>2</v>
      </c>
      <c r="H651" t="s">
        <v>1109</v>
      </c>
      <c r="I651">
        <v>470</v>
      </c>
      <c r="J651">
        <v>0</v>
      </c>
      <c r="K651" t="s">
        <v>154</v>
      </c>
      <c r="S651" t="str">
        <f t="shared" si="63"/>
        <v>30</v>
      </c>
      <c r="T651" t="s">
        <v>78</v>
      </c>
      <c r="W651" t="s">
        <v>1110</v>
      </c>
      <c r="Y651">
        <v>1765</v>
      </c>
      <c r="Z651" t="s">
        <v>85</v>
      </c>
      <c r="AC651" t="s">
        <v>67</v>
      </c>
      <c r="AF651">
        <v>2023</v>
      </c>
      <c r="AG651">
        <v>574</v>
      </c>
      <c r="AH651" t="s">
        <v>73</v>
      </c>
      <c r="AI651" t="str">
        <f>"24"</f>
        <v>24</v>
      </c>
      <c r="AJ651" s="1">
        <v>44942</v>
      </c>
      <c r="AK651" t="s">
        <v>1111</v>
      </c>
      <c r="AL651" s="2">
        <v>163698.9</v>
      </c>
      <c r="AP651" s="2">
        <v>163698.9</v>
      </c>
      <c r="AQ651">
        <v>0</v>
      </c>
      <c r="AR651">
        <v>0</v>
      </c>
      <c r="BA651">
        <v>163698.9</v>
      </c>
      <c r="BB651" s="1">
        <v>44985</v>
      </c>
    </row>
    <row r="652" spans="1:54" x14ac:dyDescent="0.25">
      <c r="A652">
        <v>2023</v>
      </c>
      <c r="B652">
        <v>297</v>
      </c>
      <c r="C652" s="1">
        <v>44985</v>
      </c>
      <c r="D652">
        <v>2023</v>
      </c>
      <c r="E652">
        <v>2023</v>
      </c>
      <c r="F652">
        <v>32</v>
      </c>
      <c r="H652" t="s">
        <v>1112</v>
      </c>
      <c r="I652">
        <v>470</v>
      </c>
      <c r="J652">
        <v>0</v>
      </c>
      <c r="K652" t="s">
        <v>154</v>
      </c>
      <c r="W652" t="s">
        <v>1113</v>
      </c>
      <c r="Y652">
        <v>1765</v>
      </c>
      <c r="Z652" t="s">
        <v>85</v>
      </c>
      <c r="AC652" t="s">
        <v>67</v>
      </c>
      <c r="AF652">
        <v>2023</v>
      </c>
      <c r="AG652">
        <v>575</v>
      </c>
      <c r="AH652" t="s">
        <v>73</v>
      </c>
      <c r="AI652" t="str">
        <f>"45"</f>
        <v>45</v>
      </c>
      <c r="AJ652" s="1">
        <v>44973</v>
      </c>
      <c r="AK652" t="s">
        <v>1114</v>
      </c>
      <c r="AL652" s="2">
        <v>45155.68</v>
      </c>
      <c r="AP652" s="2">
        <v>45155.68</v>
      </c>
      <c r="AQ652">
        <v>0</v>
      </c>
      <c r="AR652">
        <v>0</v>
      </c>
      <c r="BA652">
        <v>45155.68</v>
      </c>
      <c r="BB652" s="1">
        <v>44985</v>
      </c>
    </row>
    <row r="653" spans="1:54" x14ac:dyDescent="0.25">
      <c r="A653">
        <v>2023</v>
      </c>
      <c r="B653">
        <v>298</v>
      </c>
      <c r="C653" s="1">
        <v>44985</v>
      </c>
      <c r="D653">
        <v>2023</v>
      </c>
      <c r="E653">
        <v>2023</v>
      </c>
      <c r="F653">
        <v>137</v>
      </c>
      <c r="H653" t="s">
        <v>1115</v>
      </c>
      <c r="I653">
        <v>470</v>
      </c>
      <c r="J653">
        <v>0</v>
      </c>
      <c r="K653" t="s">
        <v>154</v>
      </c>
      <c r="W653" t="s">
        <v>1116</v>
      </c>
      <c r="Y653">
        <v>4616</v>
      </c>
      <c r="Z653" t="s">
        <v>1117</v>
      </c>
      <c r="AA653" t="s">
        <v>1118</v>
      </c>
      <c r="AB653" t="s">
        <v>1119</v>
      </c>
      <c r="AC653" t="s">
        <v>116</v>
      </c>
      <c r="AD653" t="s">
        <v>1120</v>
      </c>
      <c r="AP653">
        <v>214.49</v>
      </c>
      <c r="AQ653">
        <v>0</v>
      </c>
      <c r="AR653">
        <v>0</v>
      </c>
      <c r="BA653">
        <v>214.49</v>
      </c>
      <c r="BB653" s="1">
        <v>44985</v>
      </c>
    </row>
    <row r="654" spans="1:54" x14ac:dyDescent="0.25">
      <c r="A654">
        <v>2023</v>
      </c>
      <c r="B654">
        <v>299</v>
      </c>
      <c r="C654" s="1">
        <v>44985</v>
      </c>
      <c r="D654">
        <v>2023</v>
      </c>
      <c r="E654">
        <v>2023</v>
      </c>
      <c r="F654">
        <v>64</v>
      </c>
      <c r="H654" t="s">
        <v>1121</v>
      </c>
      <c r="I654">
        <v>165</v>
      </c>
      <c r="J654">
        <v>0</v>
      </c>
      <c r="K654" t="s">
        <v>110</v>
      </c>
      <c r="S654" t="str">
        <f>"30"</f>
        <v>30</v>
      </c>
      <c r="T654" t="s">
        <v>78</v>
      </c>
      <c r="W654" t="s">
        <v>1122</v>
      </c>
      <c r="Y654">
        <v>125</v>
      </c>
      <c r="Z654" t="s">
        <v>244</v>
      </c>
      <c r="AB654" t="str">
        <f>"80012700276"</f>
        <v>80012700276</v>
      </c>
      <c r="AC654" t="s">
        <v>116</v>
      </c>
      <c r="AD654" t="s">
        <v>245</v>
      </c>
      <c r="AF654">
        <v>2023</v>
      </c>
      <c r="AG654">
        <v>65</v>
      </c>
      <c r="AH654" t="str">
        <f>"7"</f>
        <v>7</v>
      </c>
      <c r="AI654" t="s">
        <v>1123</v>
      </c>
      <c r="AJ654" s="1">
        <v>44950</v>
      </c>
      <c r="AK654" t="s">
        <v>1124</v>
      </c>
      <c r="AL654" s="2">
        <v>27250</v>
      </c>
      <c r="AN654">
        <v>2023</v>
      </c>
      <c r="AO654">
        <v>168</v>
      </c>
      <c r="AP654" s="2">
        <v>27250</v>
      </c>
      <c r="AQ654">
        <v>0</v>
      </c>
      <c r="AR654">
        <v>0</v>
      </c>
      <c r="BA654">
        <v>27250</v>
      </c>
      <c r="BB654" s="1">
        <v>44985</v>
      </c>
    </row>
    <row r="655" spans="1:54" x14ac:dyDescent="0.25">
      <c r="A655">
        <v>2023</v>
      </c>
      <c r="B655">
        <v>299</v>
      </c>
      <c r="C655" s="1">
        <v>44985</v>
      </c>
      <c r="D655">
        <v>2023</v>
      </c>
      <c r="E655">
        <v>2023</v>
      </c>
      <c r="F655">
        <v>64</v>
      </c>
      <c r="H655" t="s">
        <v>1121</v>
      </c>
      <c r="I655">
        <v>165</v>
      </c>
      <c r="J655">
        <v>0</v>
      </c>
      <c r="K655" t="s">
        <v>110</v>
      </c>
      <c r="S655" t="str">
        <f>"30"</f>
        <v>30</v>
      </c>
      <c r="T655" t="s">
        <v>78</v>
      </c>
      <c r="W655" t="s">
        <v>1122</v>
      </c>
      <c r="Y655">
        <v>125</v>
      </c>
      <c r="Z655" t="s">
        <v>244</v>
      </c>
      <c r="AB655" t="str">
        <f>"80012700276"</f>
        <v>80012700276</v>
      </c>
      <c r="AC655" t="s">
        <v>116</v>
      </c>
      <c r="AD655" t="s">
        <v>245</v>
      </c>
      <c r="AF655">
        <v>2023</v>
      </c>
      <c r="AG655">
        <v>66</v>
      </c>
      <c r="AH655" t="str">
        <f>"7"</f>
        <v>7</v>
      </c>
      <c r="AI655" t="s">
        <v>1123</v>
      </c>
      <c r="AJ655" s="1">
        <v>44950</v>
      </c>
      <c r="AK655" t="s">
        <v>1125</v>
      </c>
      <c r="AL655" s="2">
        <v>2700</v>
      </c>
      <c r="AN655">
        <v>2023</v>
      </c>
      <c r="AO655">
        <v>167</v>
      </c>
      <c r="AP655" s="2">
        <v>2700</v>
      </c>
      <c r="AQ655">
        <v>0</v>
      </c>
      <c r="AR655">
        <v>0</v>
      </c>
      <c r="BA655">
        <v>2700</v>
      </c>
      <c r="BB655" s="1">
        <v>44985</v>
      </c>
    </row>
    <row r="656" spans="1:54" x14ac:dyDescent="0.25">
      <c r="A656">
        <v>2023</v>
      </c>
      <c r="B656">
        <v>300</v>
      </c>
      <c r="C656" s="1">
        <v>44985</v>
      </c>
      <c r="D656">
        <v>2023</v>
      </c>
      <c r="E656">
        <v>2023</v>
      </c>
      <c r="F656">
        <v>65</v>
      </c>
      <c r="H656" t="s">
        <v>478</v>
      </c>
      <c r="I656">
        <v>150</v>
      </c>
      <c r="J656">
        <v>0</v>
      </c>
      <c r="K656" t="s">
        <v>479</v>
      </c>
      <c r="S656" t="str">
        <f>"33"</f>
        <v>33</v>
      </c>
      <c r="T656" t="s">
        <v>64</v>
      </c>
      <c r="W656" t="s">
        <v>480</v>
      </c>
      <c r="Y656">
        <v>125</v>
      </c>
      <c r="Z656" t="s">
        <v>244</v>
      </c>
      <c r="AB656" t="str">
        <f>"80012700276"</f>
        <v>80012700276</v>
      </c>
      <c r="AC656" t="s">
        <v>116</v>
      </c>
      <c r="AD656" t="s">
        <v>245</v>
      </c>
      <c r="AF656">
        <v>2023</v>
      </c>
      <c r="AG656">
        <v>67</v>
      </c>
      <c r="AH656" t="str">
        <f>"7"</f>
        <v>7</v>
      </c>
      <c r="AI656" t="s">
        <v>481</v>
      </c>
      <c r="AJ656" s="1">
        <v>44957</v>
      </c>
      <c r="AK656" t="s">
        <v>480</v>
      </c>
      <c r="AL656" s="2">
        <v>3181.82</v>
      </c>
      <c r="AN656">
        <v>2023</v>
      </c>
      <c r="AO656">
        <v>240</v>
      </c>
      <c r="AP656" s="2">
        <v>3181.82</v>
      </c>
      <c r="AQ656">
        <v>0</v>
      </c>
      <c r="AR656">
        <v>0</v>
      </c>
      <c r="BA656">
        <v>3181.82</v>
      </c>
      <c r="BB656" s="1">
        <v>44985</v>
      </c>
    </row>
    <row r="657" spans="1:54" x14ac:dyDescent="0.25">
      <c r="A657">
        <v>2023</v>
      </c>
      <c r="B657">
        <v>301</v>
      </c>
      <c r="C657" s="1">
        <v>44985</v>
      </c>
      <c r="D657">
        <v>2023</v>
      </c>
      <c r="E657">
        <v>2023</v>
      </c>
      <c r="F657">
        <v>136</v>
      </c>
      <c r="H657" t="s">
        <v>484</v>
      </c>
      <c r="I657">
        <v>119</v>
      </c>
      <c r="J657">
        <v>0</v>
      </c>
      <c r="K657" t="s">
        <v>137</v>
      </c>
      <c r="S657" t="str">
        <f>"30"</f>
        <v>30</v>
      </c>
      <c r="T657" t="s">
        <v>78</v>
      </c>
      <c r="W657" t="s">
        <v>1126</v>
      </c>
      <c r="Y657">
        <v>2241</v>
      </c>
      <c r="Z657" t="s">
        <v>139</v>
      </c>
      <c r="AB657" t="str">
        <f>"07516911000"</f>
        <v>07516911000</v>
      </c>
      <c r="AC657" t="s">
        <v>67</v>
      </c>
      <c r="AF657">
        <v>2023</v>
      </c>
      <c r="AG657">
        <v>578</v>
      </c>
      <c r="AH657" t="str">
        <f t="shared" ref="AH657:AH688" si="64">"1"</f>
        <v>1</v>
      </c>
      <c r="AI657" t="str">
        <f>"58"</f>
        <v>58</v>
      </c>
      <c r="AJ657" s="1">
        <v>44985</v>
      </c>
      <c r="AK657" t="s">
        <v>1127</v>
      </c>
      <c r="AL657">
        <v>118.71</v>
      </c>
      <c r="AM657" t="str">
        <f>"9119828163"</f>
        <v>9119828163</v>
      </c>
      <c r="AN657">
        <v>2023</v>
      </c>
      <c r="AO657">
        <v>273</v>
      </c>
      <c r="AP657">
        <v>97.3</v>
      </c>
      <c r="AQ657">
        <v>0</v>
      </c>
      <c r="AR657">
        <v>0</v>
      </c>
      <c r="BA657">
        <v>97.3</v>
      </c>
      <c r="BB657" s="1">
        <v>44985</v>
      </c>
    </row>
    <row r="658" spans="1:54" x14ac:dyDescent="0.25">
      <c r="A658">
        <v>2023</v>
      </c>
      <c r="B658">
        <v>302</v>
      </c>
      <c r="C658" s="1">
        <v>44985</v>
      </c>
      <c r="D658">
        <v>2023</v>
      </c>
      <c r="E658">
        <v>2023</v>
      </c>
      <c r="F658">
        <v>136</v>
      </c>
      <c r="H658" t="s">
        <v>484</v>
      </c>
      <c r="I658">
        <v>119</v>
      </c>
      <c r="J658">
        <v>0</v>
      </c>
      <c r="K658" t="s">
        <v>137</v>
      </c>
      <c r="S658" t="str">
        <f>"30"</f>
        <v>30</v>
      </c>
      <c r="T658" t="s">
        <v>78</v>
      </c>
      <c r="W658" t="s">
        <v>469</v>
      </c>
      <c r="Y658">
        <v>2241</v>
      </c>
      <c r="Z658" t="s">
        <v>139</v>
      </c>
      <c r="AB658" t="str">
        <f>"07516911000"</f>
        <v>07516911000</v>
      </c>
      <c r="AC658" t="s">
        <v>60</v>
      </c>
      <c r="AF658">
        <v>2023</v>
      </c>
      <c r="AG658">
        <v>578</v>
      </c>
      <c r="AH658" t="str">
        <f t="shared" si="64"/>
        <v>1</v>
      </c>
      <c r="AI658" t="str">
        <f>"58"</f>
        <v>58</v>
      </c>
      <c r="AJ658" s="1">
        <v>44985</v>
      </c>
      <c r="AK658" t="s">
        <v>1127</v>
      </c>
      <c r="AL658">
        <v>118.71</v>
      </c>
      <c r="AM658" t="str">
        <f>"9119828163"</f>
        <v>9119828163</v>
      </c>
      <c r="AN658">
        <v>2023</v>
      </c>
      <c r="AO658">
        <v>273</v>
      </c>
      <c r="AP658">
        <v>21.41</v>
      </c>
      <c r="AQ658">
        <v>0</v>
      </c>
      <c r="AR658">
        <v>21.41</v>
      </c>
      <c r="AS658" t="s">
        <v>177</v>
      </c>
      <c r="AT658">
        <v>97.3</v>
      </c>
      <c r="AU658">
        <v>21.41</v>
      </c>
      <c r="AV658">
        <v>2023</v>
      </c>
      <c r="AW658">
        <v>139</v>
      </c>
      <c r="AX658">
        <v>670</v>
      </c>
      <c r="AY658">
        <v>0</v>
      </c>
      <c r="AZ658" t="s">
        <v>1128</v>
      </c>
      <c r="BA658">
        <v>21.41</v>
      </c>
      <c r="BB658" s="1">
        <v>44985</v>
      </c>
    </row>
    <row r="659" spans="1:54" x14ac:dyDescent="0.25">
      <c r="A659">
        <v>2023</v>
      </c>
      <c r="B659">
        <v>303</v>
      </c>
      <c r="C659" s="1">
        <v>44985</v>
      </c>
      <c r="D659">
        <v>2023</v>
      </c>
      <c r="E659">
        <v>2023</v>
      </c>
      <c r="F659">
        <v>136</v>
      </c>
      <c r="H659" t="s">
        <v>484</v>
      </c>
      <c r="I659">
        <v>119</v>
      </c>
      <c r="J659">
        <v>0</v>
      </c>
      <c r="K659" t="s">
        <v>137</v>
      </c>
      <c r="S659" t="str">
        <f>"30"</f>
        <v>30</v>
      </c>
      <c r="T659" t="s">
        <v>78</v>
      </c>
      <c r="W659" t="s">
        <v>1129</v>
      </c>
      <c r="Y659">
        <v>2167</v>
      </c>
      <c r="Z659" t="s">
        <v>142</v>
      </c>
      <c r="AB659" t="str">
        <f>"09771701001"</f>
        <v>09771701001</v>
      </c>
      <c r="AC659" t="s">
        <v>67</v>
      </c>
      <c r="AF659">
        <v>2023</v>
      </c>
      <c r="AG659">
        <v>576</v>
      </c>
      <c r="AH659" t="str">
        <f t="shared" si="64"/>
        <v>1</v>
      </c>
      <c r="AI659" t="str">
        <f>"58"</f>
        <v>58</v>
      </c>
      <c r="AJ659" s="1">
        <v>44985</v>
      </c>
      <c r="AK659" t="s">
        <v>1130</v>
      </c>
      <c r="AL659">
        <v>25.35</v>
      </c>
      <c r="AM659" t="str">
        <f>"9118904198"</f>
        <v>9118904198</v>
      </c>
      <c r="AN659">
        <v>2023</v>
      </c>
      <c r="AO659">
        <v>272</v>
      </c>
      <c r="AP659">
        <v>24.69</v>
      </c>
      <c r="AQ659">
        <v>0</v>
      </c>
      <c r="AR659">
        <v>0</v>
      </c>
      <c r="BA659">
        <v>24.69</v>
      </c>
      <c r="BB659" s="1">
        <v>44985</v>
      </c>
    </row>
    <row r="660" spans="1:54" x14ac:dyDescent="0.25">
      <c r="A660">
        <v>2023</v>
      </c>
      <c r="B660">
        <v>304</v>
      </c>
      <c r="C660" s="1">
        <v>44985</v>
      </c>
      <c r="D660">
        <v>2023</v>
      </c>
      <c r="E660">
        <v>2023</v>
      </c>
      <c r="F660">
        <v>136</v>
      </c>
      <c r="H660" t="s">
        <v>484</v>
      </c>
      <c r="I660">
        <v>119</v>
      </c>
      <c r="J660">
        <v>0</v>
      </c>
      <c r="K660" t="s">
        <v>137</v>
      </c>
      <c r="S660" t="str">
        <f>"30"</f>
        <v>30</v>
      </c>
      <c r="T660" t="s">
        <v>78</v>
      </c>
      <c r="W660" t="s">
        <v>1129</v>
      </c>
      <c r="Y660">
        <v>2167</v>
      </c>
      <c r="Z660" t="s">
        <v>142</v>
      </c>
      <c r="AB660" t="str">
        <f>"09771701001"</f>
        <v>09771701001</v>
      </c>
      <c r="AC660" t="s">
        <v>60</v>
      </c>
      <c r="AF660">
        <v>2023</v>
      </c>
      <c r="AG660">
        <v>576</v>
      </c>
      <c r="AH660" t="str">
        <f t="shared" si="64"/>
        <v>1</v>
      </c>
      <c r="AI660" t="str">
        <f>"58"</f>
        <v>58</v>
      </c>
      <c r="AJ660" s="1">
        <v>44985</v>
      </c>
      <c r="AK660" t="s">
        <v>1130</v>
      </c>
      <c r="AL660">
        <v>25.35</v>
      </c>
      <c r="AM660" t="str">
        <f>"9118904198"</f>
        <v>9118904198</v>
      </c>
      <c r="AN660">
        <v>2023</v>
      </c>
      <c r="AO660">
        <v>272</v>
      </c>
      <c r="AP660">
        <v>0.66</v>
      </c>
      <c r="AQ660">
        <v>0</v>
      </c>
      <c r="AR660">
        <v>0.66</v>
      </c>
      <c r="AS660" t="s">
        <v>177</v>
      </c>
      <c r="AT660">
        <v>3</v>
      </c>
      <c r="AU660">
        <v>0.66</v>
      </c>
      <c r="AV660">
        <v>2023</v>
      </c>
      <c r="AW660">
        <v>140</v>
      </c>
      <c r="AX660">
        <v>670</v>
      </c>
      <c r="AY660">
        <v>0</v>
      </c>
      <c r="AZ660" t="s">
        <v>1131</v>
      </c>
      <c r="BA660">
        <v>0.66</v>
      </c>
      <c r="BB660" s="1">
        <v>44985</v>
      </c>
    </row>
    <row r="661" spans="1:54" x14ac:dyDescent="0.25">
      <c r="A661">
        <v>2023</v>
      </c>
      <c r="B661">
        <v>305</v>
      </c>
      <c r="C661" s="1">
        <v>44985</v>
      </c>
      <c r="D661">
        <v>2023</v>
      </c>
      <c r="E661">
        <v>2023</v>
      </c>
      <c r="F661">
        <v>136</v>
      </c>
      <c r="H661" t="s">
        <v>484</v>
      </c>
      <c r="I661">
        <v>119</v>
      </c>
      <c r="J661">
        <v>0</v>
      </c>
      <c r="K661" t="s">
        <v>137</v>
      </c>
      <c r="S661" t="str">
        <f>"30"</f>
        <v>30</v>
      </c>
      <c r="T661" t="s">
        <v>78</v>
      </c>
      <c r="W661" t="s">
        <v>1132</v>
      </c>
      <c r="Y661">
        <v>4399</v>
      </c>
      <c r="Z661" t="s">
        <v>1133</v>
      </c>
      <c r="AB661" t="str">
        <f>"02095981003"</f>
        <v>02095981003</v>
      </c>
      <c r="AC661" t="s">
        <v>67</v>
      </c>
      <c r="AF661">
        <v>2023</v>
      </c>
      <c r="AG661">
        <v>577</v>
      </c>
      <c r="AH661" t="str">
        <f t="shared" si="64"/>
        <v>1</v>
      </c>
      <c r="AI661" t="str">
        <f>"58"</f>
        <v>58</v>
      </c>
      <c r="AJ661" s="1">
        <v>44985</v>
      </c>
      <c r="AK661" t="s">
        <v>1134</v>
      </c>
      <c r="AL661">
        <v>18</v>
      </c>
      <c r="AM661" t="str">
        <f>"9119377602"</f>
        <v>9119377602</v>
      </c>
      <c r="AN661">
        <v>2023</v>
      </c>
      <c r="AO661">
        <v>279</v>
      </c>
      <c r="AP661">
        <v>18</v>
      </c>
      <c r="AQ661">
        <v>0</v>
      </c>
      <c r="AR661">
        <v>0</v>
      </c>
      <c r="BA661">
        <v>18</v>
      </c>
      <c r="BB661" s="1">
        <v>44985</v>
      </c>
    </row>
    <row r="662" spans="1:54" x14ac:dyDescent="0.25">
      <c r="A662">
        <v>2023</v>
      </c>
      <c r="B662">
        <v>306</v>
      </c>
      <c r="C662" s="1">
        <v>44985</v>
      </c>
      <c r="D662">
        <v>2023</v>
      </c>
      <c r="E662">
        <v>2023</v>
      </c>
      <c r="F662">
        <v>5</v>
      </c>
      <c r="H662" t="s">
        <v>508</v>
      </c>
      <c r="I662">
        <v>151</v>
      </c>
      <c r="J662">
        <v>0</v>
      </c>
      <c r="K662" t="s">
        <v>509</v>
      </c>
      <c r="R662" t="s">
        <v>510</v>
      </c>
      <c r="S662" t="str">
        <f t="shared" ref="S662:S668" si="65">"31"</f>
        <v>31</v>
      </c>
      <c r="T662" t="s">
        <v>122</v>
      </c>
      <c r="W662" t="s">
        <v>1135</v>
      </c>
      <c r="Y662">
        <v>3694</v>
      </c>
      <c r="Z662" t="s">
        <v>512</v>
      </c>
      <c r="AB662" t="str">
        <f>"13070370153"</f>
        <v>13070370153</v>
      </c>
      <c r="AC662" t="s">
        <v>67</v>
      </c>
      <c r="AF662">
        <v>2023</v>
      </c>
      <c r="AG662">
        <v>365</v>
      </c>
      <c r="AH662" t="str">
        <f t="shared" si="64"/>
        <v>1</v>
      </c>
      <c r="AI662" t="str">
        <f>"54"</f>
        <v>54</v>
      </c>
      <c r="AJ662" s="1">
        <v>44985</v>
      </c>
      <c r="AK662" t="s">
        <v>1136</v>
      </c>
      <c r="AL662">
        <v>811.3</v>
      </c>
      <c r="AM662" t="str">
        <f>"8992073789"</f>
        <v>8992073789</v>
      </c>
      <c r="AN662">
        <v>2023</v>
      </c>
      <c r="AO662">
        <v>275</v>
      </c>
      <c r="AP662">
        <v>665</v>
      </c>
      <c r="AQ662">
        <v>0</v>
      </c>
      <c r="AR662">
        <v>0</v>
      </c>
      <c r="BA662">
        <v>665</v>
      </c>
      <c r="BB662" s="1">
        <v>44985</v>
      </c>
    </row>
    <row r="663" spans="1:54" x14ac:dyDescent="0.25">
      <c r="A663">
        <v>2023</v>
      </c>
      <c r="B663">
        <v>307</v>
      </c>
      <c r="C663" s="1">
        <v>44985</v>
      </c>
      <c r="D663">
        <v>2023</v>
      </c>
      <c r="E663">
        <v>2023</v>
      </c>
      <c r="F663">
        <v>5</v>
      </c>
      <c r="H663" t="s">
        <v>508</v>
      </c>
      <c r="I663">
        <v>151</v>
      </c>
      <c r="J663">
        <v>0</v>
      </c>
      <c r="K663" t="s">
        <v>509</v>
      </c>
      <c r="R663" t="s">
        <v>510</v>
      </c>
      <c r="S663" t="str">
        <f t="shared" si="65"/>
        <v>31</v>
      </c>
      <c r="T663" t="s">
        <v>122</v>
      </c>
      <c r="W663" t="s">
        <v>1135</v>
      </c>
      <c r="Y663">
        <v>3694</v>
      </c>
      <c r="Z663" t="s">
        <v>512</v>
      </c>
      <c r="AB663" t="str">
        <f>"13070370153"</f>
        <v>13070370153</v>
      </c>
      <c r="AC663" t="s">
        <v>60</v>
      </c>
      <c r="AF663">
        <v>2023</v>
      </c>
      <c r="AG663">
        <v>365</v>
      </c>
      <c r="AH663" t="str">
        <f t="shared" si="64"/>
        <v>1</v>
      </c>
      <c r="AI663" t="str">
        <f>"54"</f>
        <v>54</v>
      </c>
      <c r="AJ663" s="1">
        <v>44985</v>
      </c>
      <c r="AK663" t="s">
        <v>1136</v>
      </c>
      <c r="AL663">
        <v>811.3</v>
      </c>
      <c r="AM663" t="str">
        <f>"8992073789"</f>
        <v>8992073789</v>
      </c>
      <c r="AN663">
        <v>2023</v>
      </c>
      <c r="AO663">
        <v>275</v>
      </c>
      <c r="AP663">
        <v>146.30000000000001</v>
      </c>
      <c r="AQ663">
        <v>0</v>
      </c>
      <c r="AR663">
        <v>146.30000000000001</v>
      </c>
      <c r="AS663" t="s">
        <v>177</v>
      </c>
      <c r="AT663">
        <v>665</v>
      </c>
      <c r="AU663">
        <v>146.30000000000001</v>
      </c>
      <c r="AV663">
        <v>2023</v>
      </c>
      <c r="AW663">
        <v>141</v>
      </c>
      <c r="AX663">
        <v>670</v>
      </c>
      <c r="AY663">
        <v>0</v>
      </c>
      <c r="AZ663" t="s">
        <v>1137</v>
      </c>
      <c r="BA663">
        <v>146.30000000000001</v>
      </c>
      <c r="BB663" s="1">
        <v>44985</v>
      </c>
    </row>
    <row r="664" spans="1:54" x14ac:dyDescent="0.25">
      <c r="A664">
        <v>2023</v>
      </c>
      <c r="B664">
        <v>308</v>
      </c>
      <c r="C664" s="1">
        <v>44985</v>
      </c>
      <c r="D664">
        <v>2023</v>
      </c>
      <c r="E664">
        <v>2023</v>
      </c>
      <c r="F664">
        <v>5</v>
      </c>
      <c r="H664" t="s">
        <v>508</v>
      </c>
      <c r="I664">
        <v>151</v>
      </c>
      <c r="J664">
        <v>0</v>
      </c>
      <c r="K664" t="s">
        <v>509</v>
      </c>
      <c r="R664" t="s">
        <v>510</v>
      </c>
      <c r="S664" t="str">
        <f t="shared" si="65"/>
        <v>31</v>
      </c>
      <c r="T664" t="s">
        <v>122</v>
      </c>
      <c r="W664" t="s">
        <v>1138</v>
      </c>
      <c r="Y664">
        <v>3694</v>
      </c>
      <c r="Z664" t="s">
        <v>512</v>
      </c>
      <c r="AB664" t="str">
        <f>"13070370153"</f>
        <v>13070370153</v>
      </c>
      <c r="AC664" t="s">
        <v>67</v>
      </c>
      <c r="AF664">
        <v>2023</v>
      </c>
      <c r="AG664">
        <v>364</v>
      </c>
      <c r="AH664" t="str">
        <f t="shared" si="64"/>
        <v>1</v>
      </c>
      <c r="AI664" t="str">
        <f>"54"</f>
        <v>54</v>
      </c>
      <c r="AJ664" s="1">
        <v>44985</v>
      </c>
      <c r="AK664" t="s">
        <v>1139</v>
      </c>
      <c r="AL664" s="2">
        <v>3052.95</v>
      </c>
      <c r="AM664" t="str">
        <f>"8994073200"</f>
        <v>8994073200</v>
      </c>
      <c r="AN664">
        <v>2023</v>
      </c>
      <c r="AO664">
        <v>275</v>
      </c>
      <c r="AP664" s="2">
        <v>2502.42</v>
      </c>
      <c r="AQ664">
        <v>0</v>
      </c>
      <c r="AR664">
        <v>0</v>
      </c>
      <c r="BA664">
        <v>2502.42</v>
      </c>
      <c r="BB664" s="1">
        <v>44985</v>
      </c>
    </row>
    <row r="665" spans="1:54" x14ac:dyDescent="0.25">
      <c r="A665">
        <v>2023</v>
      </c>
      <c r="B665">
        <v>309</v>
      </c>
      <c r="C665" s="1">
        <v>44985</v>
      </c>
      <c r="D665">
        <v>2023</v>
      </c>
      <c r="E665">
        <v>2023</v>
      </c>
      <c r="F665">
        <v>5</v>
      </c>
      <c r="H665" t="s">
        <v>508</v>
      </c>
      <c r="I665">
        <v>151</v>
      </c>
      <c r="J665">
        <v>0</v>
      </c>
      <c r="K665" t="s">
        <v>509</v>
      </c>
      <c r="R665" t="s">
        <v>510</v>
      </c>
      <c r="S665" t="str">
        <f t="shared" si="65"/>
        <v>31</v>
      </c>
      <c r="T665" t="s">
        <v>122</v>
      </c>
      <c r="W665" t="s">
        <v>1138</v>
      </c>
      <c r="Y665">
        <v>3694</v>
      </c>
      <c r="Z665" t="s">
        <v>512</v>
      </c>
      <c r="AB665" t="str">
        <f>"13070370153"</f>
        <v>13070370153</v>
      </c>
      <c r="AC665" t="s">
        <v>60</v>
      </c>
      <c r="AF665">
        <v>2023</v>
      </c>
      <c r="AG665">
        <v>364</v>
      </c>
      <c r="AH665" t="str">
        <f t="shared" si="64"/>
        <v>1</v>
      </c>
      <c r="AI665" t="str">
        <f>"54"</f>
        <v>54</v>
      </c>
      <c r="AJ665" s="1">
        <v>44985</v>
      </c>
      <c r="AK665" t="s">
        <v>1139</v>
      </c>
      <c r="AL665" s="2">
        <v>3052.95</v>
      </c>
      <c r="AM665" t="str">
        <f>"8994073200"</f>
        <v>8994073200</v>
      </c>
      <c r="AN665">
        <v>2023</v>
      </c>
      <c r="AO665">
        <v>275</v>
      </c>
      <c r="AP665">
        <v>550.53</v>
      </c>
      <c r="AQ665">
        <v>0</v>
      </c>
      <c r="AR665">
        <v>550.53</v>
      </c>
      <c r="AS665" t="s">
        <v>177</v>
      </c>
      <c r="AT665">
        <v>2502.42</v>
      </c>
      <c r="AU665">
        <v>550.53</v>
      </c>
      <c r="AV665">
        <v>2023</v>
      </c>
      <c r="AW665">
        <v>142</v>
      </c>
      <c r="AX665">
        <v>670</v>
      </c>
      <c r="AY665">
        <v>0</v>
      </c>
      <c r="AZ665" t="s">
        <v>1140</v>
      </c>
      <c r="BA665">
        <v>550.53</v>
      </c>
      <c r="BB665" s="1">
        <v>44986</v>
      </c>
    </row>
    <row r="666" spans="1:54" x14ac:dyDescent="0.25">
      <c r="A666">
        <v>2023</v>
      </c>
      <c r="B666">
        <v>310</v>
      </c>
      <c r="C666" s="1">
        <v>44985</v>
      </c>
      <c r="D666">
        <v>2023</v>
      </c>
      <c r="E666">
        <v>2022</v>
      </c>
      <c r="F666">
        <v>727</v>
      </c>
      <c r="H666" t="s">
        <v>132</v>
      </c>
      <c r="I666">
        <v>130</v>
      </c>
      <c r="J666">
        <v>0</v>
      </c>
      <c r="K666" t="s">
        <v>128</v>
      </c>
      <c r="S666" t="str">
        <f t="shared" si="65"/>
        <v>31</v>
      </c>
      <c r="T666" t="s">
        <v>122</v>
      </c>
      <c r="W666" t="s">
        <v>1141</v>
      </c>
      <c r="Y666">
        <v>4574</v>
      </c>
      <c r="Z666" t="s">
        <v>134</v>
      </c>
      <c r="AB666" t="str">
        <f>"00997630322"</f>
        <v>00997630322</v>
      </c>
      <c r="AC666" t="s">
        <v>60</v>
      </c>
      <c r="AF666">
        <v>2023</v>
      </c>
      <c r="AG666">
        <v>386</v>
      </c>
      <c r="AH666" t="str">
        <f t="shared" si="64"/>
        <v>1</v>
      </c>
      <c r="AI666" t="str">
        <f>"53"</f>
        <v>53</v>
      </c>
      <c r="AJ666" s="1">
        <v>44985</v>
      </c>
      <c r="AK666" t="s">
        <v>1142</v>
      </c>
      <c r="AL666" s="2">
        <v>4385.97</v>
      </c>
      <c r="AM666" t="str">
        <f>"9021457453"</f>
        <v>9021457453</v>
      </c>
      <c r="AN666">
        <v>2023</v>
      </c>
      <c r="AO666">
        <v>256</v>
      </c>
      <c r="AP666">
        <v>208.86</v>
      </c>
      <c r="AQ666">
        <v>0</v>
      </c>
      <c r="AR666">
        <v>208.86</v>
      </c>
      <c r="AS666" t="s">
        <v>464</v>
      </c>
      <c r="AT666">
        <v>4177.1099999999997</v>
      </c>
      <c r="AU666">
        <v>208.86</v>
      </c>
      <c r="AV666">
        <v>2023</v>
      </c>
      <c r="AW666">
        <v>143</v>
      </c>
      <c r="AX666">
        <v>670</v>
      </c>
      <c r="AY666">
        <v>0</v>
      </c>
      <c r="AZ666" t="s">
        <v>1143</v>
      </c>
      <c r="BA666">
        <v>208.86</v>
      </c>
      <c r="BB666" s="1">
        <v>44985</v>
      </c>
    </row>
    <row r="667" spans="1:54" x14ac:dyDescent="0.25">
      <c r="A667">
        <v>2023</v>
      </c>
      <c r="B667">
        <v>311</v>
      </c>
      <c r="C667" s="1">
        <v>44985</v>
      </c>
      <c r="D667">
        <v>2023</v>
      </c>
      <c r="E667">
        <v>2022</v>
      </c>
      <c r="F667">
        <v>727</v>
      </c>
      <c r="H667" t="s">
        <v>132</v>
      </c>
      <c r="I667">
        <v>130</v>
      </c>
      <c r="J667">
        <v>0</v>
      </c>
      <c r="K667" t="s">
        <v>128</v>
      </c>
      <c r="S667" t="str">
        <f t="shared" si="65"/>
        <v>31</v>
      </c>
      <c r="T667" t="s">
        <v>122</v>
      </c>
      <c r="W667" t="s">
        <v>1141</v>
      </c>
      <c r="Y667">
        <v>4574</v>
      </c>
      <c r="Z667" t="s">
        <v>134</v>
      </c>
      <c r="AB667" t="str">
        <f>"00997630322"</f>
        <v>00997630322</v>
      </c>
      <c r="AC667" t="s">
        <v>67</v>
      </c>
      <c r="AF667">
        <v>2023</v>
      </c>
      <c r="AG667">
        <v>386</v>
      </c>
      <c r="AH667" t="str">
        <f t="shared" si="64"/>
        <v>1</v>
      </c>
      <c r="AI667" t="str">
        <f>"53"</f>
        <v>53</v>
      </c>
      <c r="AJ667" s="1">
        <v>44985</v>
      </c>
      <c r="AK667" t="s">
        <v>1142</v>
      </c>
      <c r="AL667" s="2">
        <v>4385.97</v>
      </c>
      <c r="AM667" t="str">
        <f>"9021457453"</f>
        <v>9021457453</v>
      </c>
      <c r="AN667">
        <v>2023</v>
      </c>
      <c r="AO667">
        <v>256</v>
      </c>
      <c r="AP667" s="2">
        <v>1790.89</v>
      </c>
      <c r="AQ667">
        <v>0</v>
      </c>
      <c r="AR667">
        <v>0</v>
      </c>
      <c r="BA667">
        <v>1790.89</v>
      </c>
      <c r="BB667" s="1">
        <v>44985</v>
      </c>
    </row>
    <row r="668" spans="1:54" x14ac:dyDescent="0.25">
      <c r="A668">
        <v>2023</v>
      </c>
      <c r="B668">
        <v>312</v>
      </c>
      <c r="C668" s="1">
        <v>44985</v>
      </c>
      <c r="D668">
        <v>2023</v>
      </c>
      <c r="E668">
        <v>2023</v>
      </c>
      <c r="F668">
        <v>9</v>
      </c>
      <c r="H668" t="s">
        <v>1144</v>
      </c>
      <c r="I668">
        <v>130</v>
      </c>
      <c r="J668">
        <v>0</v>
      </c>
      <c r="K668" t="s">
        <v>128</v>
      </c>
      <c r="S668" t="str">
        <f t="shared" si="65"/>
        <v>31</v>
      </c>
      <c r="T668" t="s">
        <v>122</v>
      </c>
      <c r="W668" t="s">
        <v>1141</v>
      </c>
      <c r="Y668">
        <v>4574</v>
      </c>
      <c r="Z668" t="s">
        <v>134</v>
      </c>
      <c r="AB668" t="str">
        <f>"00997630322"</f>
        <v>00997630322</v>
      </c>
      <c r="AC668" t="s">
        <v>67</v>
      </c>
      <c r="AF668">
        <v>2023</v>
      </c>
      <c r="AG668">
        <v>386</v>
      </c>
      <c r="AH668" t="str">
        <f t="shared" si="64"/>
        <v>1</v>
      </c>
      <c r="AI668" t="str">
        <f>"53"</f>
        <v>53</v>
      </c>
      <c r="AJ668" s="1">
        <v>44985</v>
      </c>
      <c r="AK668" t="s">
        <v>1142</v>
      </c>
      <c r="AL668" s="2">
        <v>4385.97</v>
      </c>
      <c r="AM668" t="str">
        <f>"9021457453"</f>
        <v>9021457453</v>
      </c>
      <c r="AN668">
        <v>2023</v>
      </c>
      <c r="AO668">
        <v>257</v>
      </c>
      <c r="AP668" s="2">
        <v>2386.2199999999998</v>
      </c>
      <c r="AQ668">
        <v>0</v>
      </c>
      <c r="AR668">
        <v>0</v>
      </c>
      <c r="BA668">
        <v>2386.2199999999998</v>
      </c>
      <c r="BB668" s="1">
        <v>44985</v>
      </c>
    </row>
    <row r="669" spans="1:54" x14ac:dyDescent="0.25">
      <c r="A669">
        <v>2023</v>
      </c>
      <c r="B669">
        <v>313</v>
      </c>
      <c r="C669" s="1">
        <v>44985</v>
      </c>
      <c r="D669">
        <v>2023</v>
      </c>
      <c r="E669">
        <v>2022</v>
      </c>
      <c r="F669">
        <v>74</v>
      </c>
      <c r="H669" t="s">
        <v>127</v>
      </c>
      <c r="I669">
        <v>130</v>
      </c>
      <c r="J669">
        <v>0</v>
      </c>
      <c r="K669" t="s">
        <v>128</v>
      </c>
      <c r="W669" t="s">
        <v>1145</v>
      </c>
      <c r="Y669">
        <v>4056</v>
      </c>
      <c r="Z669" t="s">
        <v>130</v>
      </c>
      <c r="AB669" t="str">
        <f>"03773040138"</f>
        <v>03773040138</v>
      </c>
      <c r="AC669" t="s">
        <v>60</v>
      </c>
      <c r="AF669">
        <v>2023</v>
      </c>
      <c r="AG669">
        <v>315</v>
      </c>
      <c r="AH669" t="str">
        <f t="shared" si="64"/>
        <v>1</v>
      </c>
      <c r="AI669" t="str">
        <f>"37"</f>
        <v>37</v>
      </c>
      <c r="AJ669" s="1">
        <v>44963</v>
      </c>
      <c r="AK669" t="s">
        <v>1146</v>
      </c>
      <c r="AL669" s="2">
        <v>4387.32</v>
      </c>
      <c r="AM669" t="str">
        <f>"8849253847"</f>
        <v>8849253847</v>
      </c>
      <c r="AN669">
        <v>2023</v>
      </c>
      <c r="AO669">
        <v>253</v>
      </c>
      <c r="AP669">
        <v>208.92</v>
      </c>
      <c r="AQ669">
        <v>0</v>
      </c>
      <c r="AR669">
        <v>208.92</v>
      </c>
      <c r="AS669" t="s">
        <v>464</v>
      </c>
      <c r="AT669">
        <v>4178.3900000000003</v>
      </c>
      <c r="AU669">
        <v>208.92</v>
      </c>
      <c r="AV669">
        <v>2023</v>
      </c>
      <c r="AW669">
        <v>144</v>
      </c>
      <c r="AX669">
        <v>670</v>
      </c>
      <c r="AY669">
        <v>0</v>
      </c>
      <c r="AZ669" t="s">
        <v>1147</v>
      </c>
      <c r="BA669">
        <v>208.92</v>
      </c>
      <c r="BB669" s="1">
        <v>44985</v>
      </c>
    </row>
    <row r="670" spans="1:54" x14ac:dyDescent="0.25">
      <c r="A670">
        <v>2023</v>
      </c>
      <c r="B670">
        <v>314</v>
      </c>
      <c r="C670" s="1">
        <v>44985</v>
      </c>
      <c r="D670">
        <v>2023</v>
      </c>
      <c r="E670">
        <v>2022</v>
      </c>
      <c r="F670">
        <v>74</v>
      </c>
      <c r="H670" t="s">
        <v>127</v>
      </c>
      <c r="I670">
        <v>130</v>
      </c>
      <c r="J670">
        <v>0</v>
      </c>
      <c r="K670" t="s">
        <v>128</v>
      </c>
      <c r="W670" t="s">
        <v>1145</v>
      </c>
      <c r="Y670">
        <v>4056</v>
      </c>
      <c r="Z670" t="s">
        <v>130</v>
      </c>
      <c r="AB670" t="str">
        <f>"03773040138"</f>
        <v>03773040138</v>
      </c>
      <c r="AC670" t="s">
        <v>67</v>
      </c>
      <c r="AF670">
        <v>2023</v>
      </c>
      <c r="AG670">
        <v>315</v>
      </c>
      <c r="AH670" t="str">
        <f t="shared" si="64"/>
        <v>1</v>
      </c>
      <c r="AI670" t="str">
        <f>"37"</f>
        <v>37</v>
      </c>
      <c r="AJ670" s="1">
        <v>44963</v>
      </c>
      <c r="AK670" t="s">
        <v>1146</v>
      </c>
      <c r="AL670" s="2">
        <v>4387.32</v>
      </c>
      <c r="AM670" t="str">
        <f>"8849253847"</f>
        <v>8849253847</v>
      </c>
      <c r="AN670">
        <v>2023</v>
      </c>
      <c r="AO670">
        <v>253</v>
      </c>
      <c r="AP670" s="2">
        <v>4178.3999999999996</v>
      </c>
      <c r="AQ670">
        <v>0</v>
      </c>
      <c r="AR670">
        <v>0</v>
      </c>
      <c r="BA670">
        <v>4178.3999999999996</v>
      </c>
      <c r="BB670" s="1">
        <v>44985</v>
      </c>
    </row>
    <row r="671" spans="1:54" x14ac:dyDescent="0.25">
      <c r="A671">
        <v>2023</v>
      </c>
      <c r="B671">
        <v>315</v>
      </c>
      <c r="C671" s="1">
        <v>44985</v>
      </c>
      <c r="D671">
        <v>2023</v>
      </c>
      <c r="E671">
        <v>2022</v>
      </c>
      <c r="F671">
        <v>196</v>
      </c>
      <c r="H671" t="s">
        <v>144</v>
      </c>
      <c r="I671">
        <v>130</v>
      </c>
      <c r="J671">
        <v>0</v>
      </c>
      <c r="K671" t="s">
        <v>128</v>
      </c>
      <c r="S671" t="str">
        <f t="shared" ref="S671:S692" si="66">"31"</f>
        <v>31</v>
      </c>
      <c r="T671" t="s">
        <v>122</v>
      </c>
      <c r="W671" t="s">
        <v>1148</v>
      </c>
      <c r="Y671">
        <v>2828</v>
      </c>
      <c r="Z671" t="s">
        <v>146</v>
      </c>
      <c r="AB671" t="str">
        <f t="shared" ref="AB671:AB692" si="67">"04268260272"</f>
        <v>04268260272</v>
      </c>
      <c r="AC671" t="s">
        <v>67</v>
      </c>
      <c r="AF671">
        <v>2023</v>
      </c>
      <c r="AG671">
        <v>405</v>
      </c>
      <c r="AH671" t="str">
        <f t="shared" si="64"/>
        <v>1</v>
      </c>
      <c r="AI671" t="str">
        <f>"38"</f>
        <v>38</v>
      </c>
      <c r="AJ671" s="1">
        <v>44970</v>
      </c>
      <c r="AK671" t="s">
        <v>1149</v>
      </c>
      <c r="AL671">
        <v>43.16</v>
      </c>
      <c r="AN671">
        <v>2023</v>
      </c>
      <c r="AO671">
        <v>259</v>
      </c>
      <c r="AP671">
        <v>39.229999999999997</v>
      </c>
      <c r="AQ671">
        <v>0</v>
      </c>
      <c r="AR671">
        <v>0</v>
      </c>
      <c r="BA671">
        <v>39.229999999999997</v>
      </c>
      <c r="BB671" s="1">
        <v>44985</v>
      </c>
    </row>
    <row r="672" spans="1:54" x14ac:dyDescent="0.25">
      <c r="A672">
        <v>2023</v>
      </c>
      <c r="B672">
        <v>315</v>
      </c>
      <c r="C672" s="1">
        <v>44985</v>
      </c>
      <c r="D672">
        <v>2023</v>
      </c>
      <c r="E672">
        <v>2022</v>
      </c>
      <c r="F672">
        <v>196</v>
      </c>
      <c r="H672" t="s">
        <v>144</v>
      </c>
      <c r="I672">
        <v>130</v>
      </c>
      <c r="J672">
        <v>0</v>
      </c>
      <c r="K672" t="s">
        <v>128</v>
      </c>
      <c r="S672" t="str">
        <f t="shared" si="66"/>
        <v>31</v>
      </c>
      <c r="T672" t="s">
        <v>122</v>
      </c>
      <c r="W672" t="s">
        <v>1148</v>
      </c>
      <c r="Y672">
        <v>2828</v>
      </c>
      <c r="Z672" t="s">
        <v>146</v>
      </c>
      <c r="AB672" t="str">
        <f t="shared" si="67"/>
        <v>04268260272</v>
      </c>
      <c r="AC672" t="s">
        <v>67</v>
      </c>
      <c r="AF672">
        <v>2023</v>
      </c>
      <c r="AG672">
        <v>406</v>
      </c>
      <c r="AH672" t="str">
        <f t="shared" si="64"/>
        <v>1</v>
      </c>
      <c r="AI672" t="str">
        <f>"39"</f>
        <v>39</v>
      </c>
      <c r="AJ672" s="1">
        <v>44970</v>
      </c>
      <c r="AK672" t="s">
        <v>1150</v>
      </c>
      <c r="AL672">
        <v>15.86</v>
      </c>
      <c r="AN672">
        <v>2023</v>
      </c>
      <c r="AO672">
        <v>259</v>
      </c>
      <c r="AP672">
        <v>14.39</v>
      </c>
      <c r="AQ672">
        <v>0</v>
      </c>
      <c r="AR672">
        <v>0</v>
      </c>
      <c r="BA672">
        <v>14.39</v>
      </c>
      <c r="BB672" s="1">
        <v>44985</v>
      </c>
    </row>
    <row r="673" spans="1:54" x14ac:dyDescent="0.25">
      <c r="A673">
        <v>2023</v>
      </c>
      <c r="B673">
        <v>315</v>
      </c>
      <c r="C673" s="1">
        <v>44985</v>
      </c>
      <c r="D673">
        <v>2023</v>
      </c>
      <c r="E673">
        <v>2022</v>
      </c>
      <c r="F673">
        <v>196</v>
      </c>
      <c r="H673" t="s">
        <v>144</v>
      </c>
      <c r="I673">
        <v>130</v>
      </c>
      <c r="J673">
        <v>0</v>
      </c>
      <c r="K673" t="s">
        <v>128</v>
      </c>
      <c r="S673" t="str">
        <f t="shared" si="66"/>
        <v>31</v>
      </c>
      <c r="T673" t="s">
        <v>122</v>
      </c>
      <c r="W673" t="s">
        <v>1148</v>
      </c>
      <c r="Y673">
        <v>2828</v>
      </c>
      <c r="Z673" t="s">
        <v>146</v>
      </c>
      <c r="AB673" t="str">
        <f t="shared" si="67"/>
        <v>04268260272</v>
      </c>
      <c r="AC673" t="s">
        <v>67</v>
      </c>
      <c r="AF673">
        <v>2023</v>
      </c>
      <c r="AG673">
        <v>407</v>
      </c>
      <c r="AH673" t="str">
        <f t="shared" si="64"/>
        <v>1</v>
      </c>
      <c r="AI673" t="str">
        <f>"40"</f>
        <v>40</v>
      </c>
      <c r="AJ673" s="1">
        <v>44970</v>
      </c>
      <c r="AK673" t="s">
        <v>1151</v>
      </c>
      <c r="AL673">
        <v>46.02</v>
      </c>
      <c r="AN673">
        <v>2023</v>
      </c>
      <c r="AO673">
        <v>259</v>
      </c>
      <c r="AP673">
        <v>41.81</v>
      </c>
      <c r="AQ673">
        <v>0</v>
      </c>
      <c r="AR673">
        <v>0</v>
      </c>
      <c r="BA673">
        <v>41.81</v>
      </c>
      <c r="BB673" s="1">
        <v>44985</v>
      </c>
    </row>
    <row r="674" spans="1:54" x14ac:dyDescent="0.25">
      <c r="A674">
        <v>2023</v>
      </c>
      <c r="B674">
        <v>315</v>
      </c>
      <c r="C674" s="1">
        <v>44985</v>
      </c>
      <c r="D674">
        <v>2023</v>
      </c>
      <c r="E674">
        <v>2022</v>
      </c>
      <c r="F674">
        <v>196</v>
      </c>
      <c r="H674" t="s">
        <v>144</v>
      </c>
      <c r="I674">
        <v>130</v>
      </c>
      <c r="J674">
        <v>0</v>
      </c>
      <c r="K674" t="s">
        <v>128</v>
      </c>
      <c r="S674" t="str">
        <f t="shared" si="66"/>
        <v>31</v>
      </c>
      <c r="T674" t="s">
        <v>122</v>
      </c>
      <c r="W674" t="s">
        <v>1148</v>
      </c>
      <c r="Y674">
        <v>2828</v>
      </c>
      <c r="Z674" t="s">
        <v>146</v>
      </c>
      <c r="AB674" t="str">
        <f t="shared" si="67"/>
        <v>04268260272</v>
      </c>
      <c r="AC674" t="s">
        <v>67</v>
      </c>
      <c r="AF674">
        <v>2023</v>
      </c>
      <c r="AG674">
        <v>408</v>
      </c>
      <c r="AH674" t="str">
        <f t="shared" si="64"/>
        <v>1</v>
      </c>
      <c r="AI674" t="str">
        <f>"49"</f>
        <v>49</v>
      </c>
      <c r="AJ674" s="1">
        <v>44978</v>
      </c>
      <c r="AK674" t="s">
        <v>1152</v>
      </c>
      <c r="AL674">
        <v>22.3</v>
      </c>
      <c r="AN674">
        <v>2023</v>
      </c>
      <c r="AO674">
        <v>259</v>
      </c>
      <c r="AP674">
        <v>20.260000000000002</v>
      </c>
      <c r="AQ674">
        <v>0</v>
      </c>
      <c r="AR674">
        <v>0</v>
      </c>
      <c r="BA674">
        <v>20.260000000000002</v>
      </c>
      <c r="BB674" s="1">
        <v>44985</v>
      </c>
    </row>
    <row r="675" spans="1:54" x14ac:dyDescent="0.25">
      <c r="A675">
        <v>2023</v>
      </c>
      <c r="B675">
        <v>315</v>
      </c>
      <c r="C675" s="1">
        <v>44985</v>
      </c>
      <c r="D675">
        <v>2023</v>
      </c>
      <c r="E675">
        <v>2022</v>
      </c>
      <c r="F675">
        <v>196</v>
      </c>
      <c r="H675" t="s">
        <v>144</v>
      </c>
      <c r="I675">
        <v>130</v>
      </c>
      <c r="J675">
        <v>0</v>
      </c>
      <c r="K675" t="s">
        <v>128</v>
      </c>
      <c r="S675" t="str">
        <f t="shared" si="66"/>
        <v>31</v>
      </c>
      <c r="T675" t="s">
        <v>122</v>
      </c>
      <c r="W675" t="s">
        <v>1148</v>
      </c>
      <c r="Y675">
        <v>2828</v>
      </c>
      <c r="Z675" t="s">
        <v>146</v>
      </c>
      <c r="AB675" t="str">
        <f t="shared" si="67"/>
        <v>04268260272</v>
      </c>
      <c r="AC675" t="s">
        <v>67</v>
      </c>
      <c r="AF675">
        <v>2023</v>
      </c>
      <c r="AG675">
        <v>409</v>
      </c>
      <c r="AH675" t="str">
        <f t="shared" si="64"/>
        <v>1</v>
      </c>
      <c r="AI675" t="str">
        <f>"50"</f>
        <v>50</v>
      </c>
      <c r="AJ675" s="1">
        <v>44978</v>
      </c>
      <c r="AK675" t="s">
        <v>1153</v>
      </c>
      <c r="AL675">
        <v>17.28</v>
      </c>
      <c r="AN675">
        <v>2023</v>
      </c>
      <c r="AO675">
        <v>259</v>
      </c>
      <c r="AP675">
        <v>15.72</v>
      </c>
      <c r="AQ675">
        <v>0</v>
      </c>
      <c r="AR675">
        <v>0</v>
      </c>
      <c r="BA675">
        <v>15.72</v>
      </c>
      <c r="BB675" s="1">
        <v>44985</v>
      </c>
    </row>
    <row r="676" spans="1:54" x14ac:dyDescent="0.25">
      <c r="A676">
        <v>2023</v>
      </c>
      <c r="B676">
        <v>315</v>
      </c>
      <c r="C676" s="1">
        <v>44985</v>
      </c>
      <c r="D676">
        <v>2023</v>
      </c>
      <c r="E676">
        <v>2022</v>
      </c>
      <c r="F676">
        <v>196</v>
      </c>
      <c r="H676" t="s">
        <v>144</v>
      </c>
      <c r="I676">
        <v>130</v>
      </c>
      <c r="J676">
        <v>0</v>
      </c>
      <c r="K676" t="s">
        <v>128</v>
      </c>
      <c r="S676" t="str">
        <f t="shared" si="66"/>
        <v>31</v>
      </c>
      <c r="T676" t="s">
        <v>122</v>
      </c>
      <c r="W676" t="s">
        <v>1148</v>
      </c>
      <c r="Y676">
        <v>2828</v>
      </c>
      <c r="Z676" t="s">
        <v>146</v>
      </c>
      <c r="AB676" t="str">
        <f t="shared" si="67"/>
        <v>04268260272</v>
      </c>
      <c r="AC676" t="s">
        <v>67</v>
      </c>
      <c r="AF676">
        <v>2023</v>
      </c>
      <c r="AG676">
        <v>410</v>
      </c>
      <c r="AH676" t="str">
        <f t="shared" si="64"/>
        <v>1</v>
      </c>
      <c r="AI676" t="str">
        <f>"46"</f>
        <v>46</v>
      </c>
      <c r="AJ676" s="1">
        <v>44974</v>
      </c>
      <c r="AK676" t="s">
        <v>1154</v>
      </c>
      <c r="AL676">
        <v>17.440000000000001</v>
      </c>
      <c r="AN676">
        <v>2023</v>
      </c>
      <c r="AO676">
        <v>259</v>
      </c>
      <c r="AP676">
        <v>15.88</v>
      </c>
      <c r="AQ676">
        <v>0</v>
      </c>
      <c r="AR676">
        <v>0</v>
      </c>
      <c r="BA676">
        <v>15.88</v>
      </c>
      <c r="BB676" s="1">
        <v>44985</v>
      </c>
    </row>
    <row r="677" spans="1:54" x14ac:dyDescent="0.25">
      <c r="A677">
        <v>2023</v>
      </c>
      <c r="B677">
        <v>315</v>
      </c>
      <c r="C677" s="1">
        <v>44985</v>
      </c>
      <c r="D677">
        <v>2023</v>
      </c>
      <c r="E677">
        <v>2022</v>
      </c>
      <c r="F677">
        <v>196</v>
      </c>
      <c r="H677" t="s">
        <v>144</v>
      </c>
      <c r="I677">
        <v>130</v>
      </c>
      <c r="J677">
        <v>0</v>
      </c>
      <c r="K677" t="s">
        <v>128</v>
      </c>
      <c r="S677" t="str">
        <f t="shared" si="66"/>
        <v>31</v>
      </c>
      <c r="T677" t="s">
        <v>122</v>
      </c>
      <c r="W677" t="s">
        <v>1148</v>
      </c>
      <c r="Y677">
        <v>2828</v>
      </c>
      <c r="Z677" t="s">
        <v>146</v>
      </c>
      <c r="AB677" t="str">
        <f t="shared" si="67"/>
        <v>04268260272</v>
      </c>
      <c r="AC677" t="s">
        <v>67</v>
      </c>
      <c r="AF677">
        <v>2023</v>
      </c>
      <c r="AG677">
        <v>411</v>
      </c>
      <c r="AH677" t="str">
        <f t="shared" si="64"/>
        <v>1</v>
      </c>
      <c r="AI677" t="str">
        <f>"51"</f>
        <v>51</v>
      </c>
      <c r="AJ677" s="1">
        <v>44978</v>
      </c>
      <c r="AK677" t="s">
        <v>1155</v>
      </c>
      <c r="AL677">
        <v>27.57</v>
      </c>
      <c r="AN677">
        <v>2023</v>
      </c>
      <c r="AO677">
        <v>259</v>
      </c>
      <c r="AP677">
        <v>25.06</v>
      </c>
      <c r="AQ677">
        <v>0</v>
      </c>
      <c r="AR677">
        <v>0</v>
      </c>
      <c r="BA677">
        <v>25.06</v>
      </c>
      <c r="BB677" s="1">
        <v>44985</v>
      </c>
    </row>
    <row r="678" spans="1:54" x14ac:dyDescent="0.25">
      <c r="A678">
        <v>2023</v>
      </c>
      <c r="B678">
        <v>315</v>
      </c>
      <c r="C678" s="1">
        <v>44985</v>
      </c>
      <c r="D678">
        <v>2023</v>
      </c>
      <c r="E678">
        <v>2022</v>
      </c>
      <c r="F678">
        <v>196</v>
      </c>
      <c r="H678" t="s">
        <v>144</v>
      </c>
      <c r="I678">
        <v>130</v>
      </c>
      <c r="J678">
        <v>0</v>
      </c>
      <c r="K678" t="s">
        <v>128</v>
      </c>
      <c r="S678" t="str">
        <f t="shared" si="66"/>
        <v>31</v>
      </c>
      <c r="T678" t="s">
        <v>122</v>
      </c>
      <c r="W678" t="s">
        <v>1148</v>
      </c>
      <c r="Y678">
        <v>2828</v>
      </c>
      <c r="Z678" t="s">
        <v>146</v>
      </c>
      <c r="AB678" t="str">
        <f t="shared" si="67"/>
        <v>04268260272</v>
      </c>
      <c r="AC678" t="s">
        <v>67</v>
      </c>
      <c r="AF678">
        <v>2023</v>
      </c>
      <c r="AG678">
        <v>412</v>
      </c>
      <c r="AH678" t="str">
        <f t="shared" si="64"/>
        <v>1</v>
      </c>
      <c r="AI678" t="str">
        <f>"52"</f>
        <v>52</v>
      </c>
      <c r="AJ678" s="1">
        <v>44978</v>
      </c>
      <c r="AK678" t="s">
        <v>1156</v>
      </c>
      <c r="AL678">
        <v>22.11</v>
      </c>
      <c r="AN678">
        <v>2023</v>
      </c>
      <c r="AO678">
        <v>259</v>
      </c>
      <c r="AP678">
        <v>20.14</v>
      </c>
      <c r="AQ678">
        <v>0</v>
      </c>
      <c r="AR678">
        <v>0</v>
      </c>
      <c r="BA678">
        <v>20.14</v>
      </c>
      <c r="BB678" s="1">
        <v>44985</v>
      </c>
    </row>
    <row r="679" spans="1:54" x14ac:dyDescent="0.25">
      <c r="A679">
        <v>2023</v>
      </c>
      <c r="B679">
        <v>316</v>
      </c>
      <c r="C679" s="1">
        <v>44985</v>
      </c>
      <c r="D679">
        <v>2023</v>
      </c>
      <c r="E679">
        <v>2022</v>
      </c>
      <c r="F679">
        <v>196</v>
      </c>
      <c r="H679" t="s">
        <v>144</v>
      </c>
      <c r="I679">
        <v>130</v>
      </c>
      <c r="J679">
        <v>0</v>
      </c>
      <c r="K679" t="s">
        <v>128</v>
      </c>
      <c r="S679" t="str">
        <f t="shared" si="66"/>
        <v>31</v>
      </c>
      <c r="T679" t="s">
        <v>122</v>
      </c>
      <c r="W679" t="s">
        <v>1148</v>
      </c>
      <c r="Y679">
        <v>2828</v>
      </c>
      <c r="Z679" t="s">
        <v>146</v>
      </c>
      <c r="AB679" t="str">
        <f t="shared" si="67"/>
        <v>04268260272</v>
      </c>
      <c r="AC679" t="s">
        <v>60</v>
      </c>
      <c r="AF679">
        <v>2023</v>
      </c>
      <c r="AG679">
        <v>405</v>
      </c>
      <c r="AH679" t="str">
        <f t="shared" si="64"/>
        <v>1</v>
      </c>
      <c r="AI679" t="str">
        <f>"38"</f>
        <v>38</v>
      </c>
      <c r="AJ679" s="1">
        <v>44970</v>
      </c>
      <c r="AK679" t="s">
        <v>1149</v>
      </c>
      <c r="AL679">
        <v>43.16</v>
      </c>
      <c r="AN679">
        <v>2023</v>
      </c>
      <c r="AO679">
        <v>259</v>
      </c>
      <c r="AP679">
        <v>3.93</v>
      </c>
      <c r="AQ679">
        <v>0</v>
      </c>
      <c r="AR679">
        <v>19.25</v>
      </c>
      <c r="AS679" t="s">
        <v>194</v>
      </c>
      <c r="AT679">
        <v>39.29</v>
      </c>
      <c r="AU679">
        <v>3.93</v>
      </c>
      <c r="AV679">
        <v>2023</v>
      </c>
      <c r="AW679">
        <v>145</v>
      </c>
      <c r="AX679">
        <v>670</v>
      </c>
      <c r="AY679">
        <v>0</v>
      </c>
      <c r="AZ679" t="s">
        <v>1157</v>
      </c>
      <c r="BA679">
        <v>3.93</v>
      </c>
      <c r="BB679" s="1">
        <v>44985</v>
      </c>
    </row>
    <row r="680" spans="1:54" x14ac:dyDescent="0.25">
      <c r="A680">
        <v>2023</v>
      </c>
      <c r="B680">
        <v>316</v>
      </c>
      <c r="C680" s="1">
        <v>44985</v>
      </c>
      <c r="D680">
        <v>2023</v>
      </c>
      <c r="E680">
        <v>2022</v>
      </c>
      <c r="F680">
        <v>196</v>
      </c>
      <c r="H680" t="s">
        <v>144</v>
      </c>
      <c r="I680">
        <v>130</v>
      </c>
      <c r="J680">
        <v>0</v>
      </c>
      <c r="K680" t="s">
        <v>128</v>
      </c>
      <c r="S680" t="str">
        <f t="shared" si="66"/>
        <v>31</v>
      </c>
      <c r="T680" t="s">
        <v>122</v>
      </c>
      <c r="W680" t="s">
        <v>1148</v>
      </c>
      <c r="Y680">
        <v>2828</v>
      </c>
      <c r="Z680" t="s">
        <v>146</v>
      </c>
      <c r="AB680" t="str">
        <f t="shared" si="67"/>
        <v>04268260272</v>
      </c>
      <c r="AC680" t="s">
        <v>60</v>
      </c>
      <c r="AF680">
        <v>2023</v>
      </c>
      <c r="AG680">
        <v>406</v>
      </c>
      <c r="AH680" t="str">
        <f t="shared" si="64"/>
        <v>1</v>
      </c>
      <c r="AI680" t="str">
        <f>"39"</f>
        <v>39</v>
      </c>
      <c r="AJ680" s="1">
        <v>44970</v>
      </c>
      <c r="AK680" t="s">
        <v>1150</v>
      </c>
      <c r="AL680">
        <v>15.86</v>
      </c>
      <c r="AN680">
        <v>2023</v>
      </c>
      <c r="AO680">
        <v>259</v>
      </c>
      <c r="AP680">
        <v>1.47</v>
      </c>
      <c r="AQ680">
        <v>0</v>
      </c>
      <c r="AR680">
        <v>19.25</v>
      </c>
      <c r="AS680" t="s">
        <v>194</v>
      </c>
      <c r="AT680">
        <v>14.7</v>
      </c>
      <c r="AU680">
        <v>1.47</v>
      </c>
      <c r="AV680">
        <v>2023</v>
      </c>
      <c r="AW680">
        <v>145</v>
      </c>
      <c r="AX680">
        <v>670</v>
      </c>
      <c r="AY680">
        <v>0</v>
      </c>
      <c r="AZ680" t="s">
        <v>1157</v>
      </c>
      <c r="BA680">
        <v>1.47</v>
      </c>
      <c r="BB680" s="1">
        <v>44985</v>
      </c>
    </row>
    <row r="681" spans="1:54" x14ac:dyDescent="0.25">
      <c r="A681">
        <v>2023</v>
      </c>
      <c r="B681">
        <v>316</v>
      </c>
      <c r="C681" s="1">
        <v>44985</v>
      </c>
      <c r="D681">
        <v>2023</v>
      </c>
      <c r="E681">
        <v>2022</v>
      </c>
      <c r="F681">
        <v>196</v>
      </c>
      <c r="H681" t="s">
        <v>144</v>
      </c>
      <c r="I681">
        <v>130</v>
      </c>
      <c r="J681">
        <v>0</v>
      </c>
      <c r="K681" t="s">
        <v>128</v>
      </c>
      <c r="S681" t="str">
        <f t="shared" si="66"/>
        <v>31</v>
      </c>
      <c r="T681" t="s">
        <v>122</v>
      </c>
      <c r="W681" t="s">
        <v>1148</v>
      </c>
      <c r="Y681">
        <v>2828</v>
      </c>
      <c r="Z681" t="s">
        <v>146</v>
      </c>
      <c r="AB681" t="str">
        <f t="shared" si="67"/>
        <v>04268260272</v>
      </c>
      <c r="AC681" t="s">
        <v>60</v>
      </c>
      <c r="AF681">
        <v>2023</v>
      </c>
      <c r="AG681">
        <v>407</v>
      </c>
      <c r="AH681" t="str">
        <f t="shared" si="64"/>
        <v>1</v>
      </c>
      <c r="AI681" t="str">
        <f>"40"</f>
        <v>40</v>
      </c>
      <c r="AJ681" s="1">
        <v>44970</v>
      </c>
      <c r="AK681" t="s">
        <v>1151</v>
      </c>
      <c r="AL681">
        <v>46.02</v>
      </c>
      <c r="AN681">
        <v>2023</v>
      </c>
      <c r="AO681">
        <v>259</v>
      </c>
      <c r="AP681">
        <v>4.21</v>
      </c>
      <c r="AQ681">
        <v>0</v>
      </c>
      <c r="AR681">
        <v>19.25</v>
      </c>
      <c r="AS681" t="s">
        <v>194</v>
      </c>
      <c r="AT681">
        <v>42.06</v>
      </c>
      <c r="AU681">
        <v>4.21</v>
      </c>
      <c r="AV681">
        <v>2023</v>
      </c>
      <c r="AW681">
        <v>145</v>
      </c>
      <c r="AX681">
        <v>670</v>
      </c>
      <c r="AY681">
        <v>0</v>
      </c>
      <c r="AZ681" t="s">
        <v>1157</v>
      </c>
      <c r="BA681">
        <v>4.21</v>
      </c>
      <c r="BB681" s="1">
        <v>44985</v>
      </c>
    </row>
    <row r="682" spans="1:54" x14ac:dyDescent="0.25">
      <c r="A682">
        <v>2023</v>
      </c>
      <c r="B682">
        <v>316</v>
      </c>
      <c r="C682" s="1">
        <v>44985</v>
      </c>
      <c r="D682">
        <v>2023</v>
      </c>
      <c r="E682">
        <v>2022</v>
      </c>
      <c r="F682">
        <v>196</v>
      </c>
      <c r="H682" t="s">
        <v>144</v>
      </c>
      <c r="I682">
        <v>130</v>
      </c>
      <c r="J682">
        <v>0</v>
      </c>
      <c r="K682" t="s">
        <v>128</v>
      </c>
      <c r="S682" t="str">
        <f t="shared" si="66"/>
        <v>31</v>
      </c>
      <c r="T682" t="s">
        <v>122</v>
      </c>
      <c r="W682" t="s">
        <v>1148</v>
      </c>
      <c r="Y682">
        <v>2828</v>
      </c>
      <c r="Z682" t="s">
        <v>146</v>
      </c>
      <c r="AB682" t="str">
        <f t="shared" si="67"/>
        <v>04268260272</v>
      </c>
      <c r="AC682" t="s">
        <v>60</v>
      </c>
      <c r="AF682">
        <v>2023</v>
      </c>
      <c r="AG682">
        <v>408</v>
      </c>
      <c r="AH682" t="str">
        <f t="shared" si="64"/>
        <v>1</v>
      </c>
      <c r="AI682" t="str">
        <f>"49"</f>
        <v>49</v>
      </c>
      <c r="AJ682" s="1">
        <v>44978</v>
      </c>
      <c r="AK682" t="s">
        <v>1152</v>
      </c>
      <c r="AL682">
        <v>22.3</v>
      </c>
      <c r="AN682">
        <v>2023</v>
      </c>
      <c r="AO682">
        <v>259</v>
      </c>
      <c r="AP682">
        <v>2.04</v>
      </c>
      <c r="AQ682">
        <v>0</v>
      </c>
      <c r="AR682">
        <v>19.25</v>
      </c>
      <c r="AS682" t="s">
        <v>194</v>
      </c>
      <c r="AT682">
        <v>20.420000000000002</v>
      </c>
      <c r="AU682">
        <v>2.04</v>
      </c>
      <c r="AV682">
        <v>2023</v>
      </c>
      <c r="AW682">
        <v>145</v>
      </c>
      <c r="AX682">
        <v>670</v>
      </c>
      <c r="AY682">
        <v>0</v>
      </c>
      <c r="AZ682" t="s">
        <v>1157</v>
      </c>
      <c r="BA682">
        <v>2.04</v>
      </c>
      <c r="BB682" s="1">
        <v>44985</v>
      </c>
    </row>
    <row r="683" spans="1:54" x14ac:dyDescent="0.25">
      <c r="A683">
        <v>2023</v>
      </c>
      <c r="B683">
        <v>316</v>
      </c>
      <c r="C683" s="1">
        <v>44985</v>
      </c>
      <c r="D683">
        <v>2023</v>
      </c>
      <c r="E683">
        <v>2022</v>
      </c>
      <c r="F683">
        <v>196</v>
      </c>
      <c r="H683" t="s">
        <v>144</v>
      </c>
      <c r="I683">
        <v>130</v>
      </c>
      <c r="J683">
        <v>0</v>
      </c>
      <c r="K683" t="s">
        <v>128</v>
      </c>
      <c r="S683" t="str">
        <f t="shared" si="66"/>
        <v>31</v>
      </c>
      <c r="T683" t="s">
        <v>122</v>
      </c>
      <c r="W683" t="s">
        <v>1148</v>
      </c>
      <c r="Y683">
        <v>2828</v>
      </c>
      <c r="Z683" t="s">
        <v>146</v>
      </c>
      <c r="AB683" t="str">
        <f t="shared" si="67"/>
        <v>04268260272</v>
      </c>
      <c r="AC683" t="s">
        <v>60</v>
      </c>
      <c r="AF683">
        <v>2023</v>
      </c>
      <c r="AG683">
        <v>409</v>
      </c>
      <c r="AH683" t="str">
        <f t="shared" si="64"/>
        <v>1</v>
      </c>
      <c r="AI683" t="str">
        <f>"50"</f>
        <v>50</v>
      </c>
      <c r="AJ683" s="1">
        <v>44978</v>
      </c>
      <c r="AK683" t="s">
        <v>1153</v>
      </c>
      <c r="AL683">
        <v>17.28</v>
      </c>
      <c r="AN683">
        <v>2023</v>
      </c>
      <c r="AO683">
        <v>259</v>
      </c>
      <c r="AP683">
        <v>1.56</v>
      </c>
      <c r="AQ683">
        <v>0</v>
      </c>
      <c r="AR683">
        <v>19.25</v>
      </c>
      <c r="AS683" t="s">
        <v>194</v>
      </c>
      <c r="AT683">
        <v>15.55</v>
      </c>
      <c r="AU683">
        <v>1.56</v>
      </c>
      <c r="AV683">
        <v>2023</v>
      </c>
      <c r="AW683">
        <v>145</v>
      </c>
      <c r="AX683">
        <v>670</v>
      </c>
      <c r="AY683">
        <v>0</v>
      </c>
      <c r="AZ683" t="s">
        <v>1157</v>
      </c>
      <c r="BA683">
        <v>1.56</v>
      </c>
      <c r="BB683" s="1">
        <v>44985</v>
      </c>
    </row>
    <row r="684" spans="1:54" x14ac:dyDescent="0.25">
      <c r="A684">
        <v>2023</v>
      </c>
      <c r="B684">
        <v>316</v>
      </c>
      <c r="C684" s="1">
        <v>44985</v>
      </c>
      <c r="D684">
        <v>2023</v>
      </c>
      <c r="E684">
        <v>2022</v>
      </c>
      <c r="F684">
        <v>196</v>
      </c>
      <c r="H684" t="s">
        <v>144</v>
      </c>
      <c r="I684">
        <v>130</v>
      </c>
      <c r="J684">
        <v>0</v>
      </c>
      <c r="K684" t="s">
        <v>128</v>
      </c>
      <c r="S684" t="str">
        <f t="shared" si="66"/>
        <v>31</v>
      </c>
      <c r="T684" t="s">
        <v>122</v>
      </c>
      <c r="W684" t="s">
        <v>1148</v>
      </c>
      <c r="Y684">
        <v>2828</v>
      </c>
      <c r="Z684" t="s">
        <v>146</v>
      </c>
      <c r="AB684" t="str">
        <f t="shared" si="67"/>
        <v>04268260272</v>
      </c>
      <c r="AC684" t="s">
        <v>60</v>
      </c>
      <c r="AF684">
        <v>2023</v>
      </c>
      <c r="AG684">
        <v>410</v>
      </c>
      <c r="AH684" t="str">
        <f t="shared" si="64"/>
        <v>1</v>
      </c>
      <c r="AI684" t="str">
        <f>"46"</f>
        <v>46</v>
      </c>
      <c r="AJ684" s="1">
        <v>44974</v>
      </c>
      <c r="AK684" t="s">
        <v>1154</v>
      </c>
      <c r="AL684">
        <v>17.440000000000001</v>
      </c>
      <c r="AN684">
        <v>2023</v>
      </c>
      <c r="AO684">
        <v>259</v>
      </c>
      <c r="AP684">
        <v>1.56</v>
      </c>
      <c r="AQ684">
        <v>0</v>
      </c>
      <c r="AR684">
        <v>19.25</v>
      </c>
      <c r="AS684" t="s">
        <v>194</v>
      </c>
      <c r="AT684">
        <v>15.56</v>
      </c>
      <c r="AU684">
        <v>1.56</v>
      </c>
      <c r="AV684">
        <v>2023</v>
      </c>
      <c r="AW684">
        <v>145</v>
      </c>
      <c r="AX684">
        <v>670</v>
      </c>
      <c r="AY684">
        <v>0</v>
      </c>
      <c r="AZ684" t="s">
        <v>1157</v>
      </c>
      <c r="BA684">
        <v>1.56</v>
      </c>
      <c r="BB684" s="1">
        <v>44985</v>
      </c>
    </row>
    <row r="685" spans="1:54" x14ac:dyDescent="0.25">
      <c r="A685">
        <v>2023</v>
      </c>
      <c r="B685">
        <v>316</v>
      </c>
      <c r="C685" s="1">
        <v>44985</v>
      </c>
      <c r="D685">
        <v>2023</v>
      </c>
      <c r="E685">
        <v>2022</v>
      </c>
      <c r="F685">
        <v>196</v>
      </c>
      <c r="H685" t="s">
        <v>144</v>
      </c>
      <c r="I685">
        <v>130</v>
      </c>
      <c r="J685">
        <v>0</v>
      </c>
      <c r="K685" t="s">
        <v>128</v>
      </c>
      <c r="S685" t="str">
        <f t="shared" si="66"/>
        <v>31</v>
      </c>
      <c r="T685" t="s">
        <v>122</v>
      </c>
      <c r="W685" t="s">
        <v>1148</v>
      </c>
      <c r="Y685">
        <v>2828</v>
      </c>
      <c r="Z685" t="s">
        <v>146</v>
      </c>
      <c r="AB685" t="str">
        <f t="shared" si="67"/>
        <v>04268260272</v>
      </c>
      <c r="AC685" t="s">
        <v>60</v>
      </c>
      <c r="AF685">
        <v>2023</v>
      </c>
      <c r="AG685">
        <v>411</v>
      </c>
      <c r="AH685" t="str">
        <f t="shared" si="64"/>
        <v>1</v>
      </c>
      <c r="AI685" t="str">
        <f>"51"</f>
        <v>51</v>
      </c>
      <c r="AJ685" s="1">
        <v>44978</v>
      </c>
      <c r="AK685" t="s">
        <v>1155</v>
      </c>
      <c r="AL685">
        <v>27.57</v>
      </c>
      <c r="AN685">
        <v>2023</v>
      </c>
      <c r="AO685">
        <v>259</v>
      </c>
      <c r="AP685">
        <v>2.5099999999999998</v>
      </c>
      <c r="AQ685">
        <v>0</v>
      </c>
      <c r="AR685">
        <v>19.25</v>
      </c>
      <c r="AS685" t="s">
        <v>194</v>
      </c>
      <c r="AT685">
        <v>25.07</v>
      </c>
      <c r="AU685">
        <v>2.5099999999999998</v>
      </c>
      <c r="AV685">
        <v>2023</v>
      </c>
      <c r="AW685">
        <v>145</v>
      </c>
      <c r="AX685">
        <v>670</v>
      </c>
      <c r="AY685">
        <v>0</v>
      </c>
      <c r="AZ685" t="s">
        <v>1157</v>
      </c>
      <c r="BA685">
        <v>2.5099999999999998</v>
      </c>
      <c r="BB685" s="1">
        <v>44985</v>
      </c>
    </row>
    <row r="686" spans="1:54" x14ac:dyDescent="0.25">
      <c r="A686">
        <v>2023</v>
      </c>
      <c r="B686">
        <v>316</v>
      </c>
      <c r="C686" s="1">
        <v>44985</v>
      </c>
      <c r="D686">
        <v>2023</v>
      </c>
      <c r="E686">
        <v>2022</v>
      </c>
      <c r="F686">
        <v>196</v>
      </c>
      <c r="H686" t="s">
        <v>144</v>
      </c>
      <c r="I686">
        <v>130</v>
      </c>
      <c r="J686">
        <v>0</v>
      </c>
      <c r="K686" t="s">
        <v>128</v>
      </c>
      <c r="S686" t="str">
        <f t="shared" si="66"/>
        <v>31</v>
      </c>
      <c r="T686" t="s">
        <v>122</v>
      </c>
      <c r="W686" t="s">
        <v>1148</v>
      </c>
      <c r="Y686">
        <v>2828</v>
      </c>
      <c r="Z686" t="s">
        <v>146</v>
      </c>
      <c r="AB686" t="str">
        <f t="shared" si="67"/>
        <v>04268260272</v>
      </c>
      <c r="AC686" t="s">
        <v>60</v>
      </c>
      <c r="AF686">
        <v>2023</v>
      </c>
      <c r="AG686">
        <v>412</v>
      </c>
      <c r="AH686" t="str">
        <f t="shared" si="64"/>
        <v>1</v>
      </c>
      <c r="AI686" t="str">
        <f>"52"</f>
        <v>52</v>
      </c>
      <c r="AJ686" s="1">
        <v>44978</v>
      </c>
      <c r="AK686" t="s">
        <v>1156</v>
      </c>
      <c r="AL686">
        <v>22.11</v>
      </c>
      <c r="AN686">
        <v>2023</v>
      </c>
      <c r="AO686">
        <v>259</v>
      </c>
      <c r="AP686">
        <v>1.97</v>
      </c>
      <c r="AQ686">
        <v>0</v>
      </c>
      <c r="AR686">
        <v>19.25</v>
      </c>
      <c r="AS686" t="s">
        <v>194</v>
      </c>
      <c r="AT686">
        <v>19.649999999999999</v>
      </c>
      <c r="AU686">
        <v>1.97</v>
      </c>
      <c r="AV686">
        <v>2023</v>
      </c>
      <c r="AW686">
        <v>145</v>
      </c>
      <c r="AX686">
        <v>670</v>
      </c>
      <c r="AY686">
        <v>0</v>
      </c>
      <c r="AZ686" t="s">
        <v>1157</v>
      </c>
      <c r="BA686">
        <v>1.97</v>
      </c>
      <c r="BB686" s="1">
        <v>44985</v>
      </c>
    </row>
    <row r="687" spans="1:54" x14ac:dyDescent="0.25">
      <c r="A687">
        <v>2023</v>
      </c>
      <c r="B687">
        <v>317</v>
      </c>
      <c r="C687" s="1">
        <v>44985</v>
      </c>
      <c r="D687">
        <v>2023</v>
      </c>
      <c r="E687">
        <v>2022</v>
      </c>
      <c r="F687">
        <v>196</v>
      </c>
      <c r="H687" t="s">
        <v>144</v>
      </c>
      <c r="I687">
        <v>130</v>
      </c>
      <c r="J687">
        <v>0</v>
      </c>
      <c r="K687" t="s">
        <v>128</v>
      </c>
      <c r="S687" t="str">
        <f t="shared" si="66"/>
        <v>31</v>
      </c>
      <c r="T687" t="s">
        <v>122</v>
      </c>
      <c r="W687" t="s">
        <v>1148</v>
      </c>
      <c r="Y687">
        <v>2828</v>
      </c>
      <c r="Z687" t="s">
        <v>146</v>
      </c>
      <c r="AB687" t="str">
        <f t="shared" si="67"/>
        <v>04268260272</v>
      </c>
      <c r="AC687" t="s">
        <v>67</v>
      </c>
      <c r="AF687">
        <v>2023</v>
      </c>
      <c r="AG687">
        <v>99</v>
      </c>
      <c r="AH687" t="str">
        <f t="shared" si="64"/>
        <v>1</v>
      </c>
      <c r="AI687" t="str">
        <f>"55"</f>
        <v>55</v>
      </c>
      <c r="AJ687" s="1">
        <v>44985</v>
      </c>
      <c r="AK687" t="s">
        <v>1158</v>
      </c>
      <c r="AL687">
        <v>28.61</v>
      </c>
      <c r="AM687" t="str">
        <f>"8771077811"</f>
        <v>8771077811</v>
      </c>
      <c r="AN687">
        <v>2023</v>
      </c>
      <c r="AO687">
        <v>274</v>
      </c>
      <c r="AP687">
        <v>26.04</v>
      </c>
      <c r="AQ687">
        <v>0</v>
      </c>
      <c r="AR687">
        <v>0</v>
      </c>
      <c r="BA687">
        <v>26.04</v>
      </c>
      <c r="BB687" s="1">
        <v>44985</v>
      </c>
    </row>
    <row r="688" spans="1:54" x14ac:dyDescent="0.25">
      <c r="A688">
        <v>2023</v>
      </c>
      <c r="B688">
        <v>317</v>
      </c>
      <c r="C688" s="1">
        <v>44985</v>
      </c>
      <c r="D688">
        <v>2023</v>
      </c>
      <c r="E688">
        <v>2022</v>
      </c>
      <c r="F688">
        <v>196</v>
      </c>
      <c r="H688" t="s">
        <v>144</v>
      </c>
      <c r="I688">
        <v>130</v>
      </c>
      <c r="J688">
        <v>0</v>
      </c>
      <c r="K688" t="s">
        <v>128</v>
      </c>
      <c r="S688" t="str">
        <f t="shared" si="66"/>
        <v>31</v>
      </c>
      <c r="T688" t="s">
        <v>122</v>
      </c>
      <c r="W688" t="s">
        <v>1148</v>
      </c>
      <c r="Y688">
        <v>2828</v>
      </c>
      <c r="Z688" t="s">
        <v>146</v>
      </c>
      <c r="AB688" t="str">
        <f t="shared" si="67"/>
        <v>04268260272</v>
      </c>
      <c r="AC688" t="s">
        <v>67</v>
      </c>
      <c r="AF688">
        <v>2023</v>
      </c>
      <c r="AG688">
        <v>100</v>
      </c>
      <c r="AH688" t="str">
        <f t="shared" si="64"/>
        <v>1</v>
      </c>
      <c r="AI688" t="str">
        <f>"56"</f>
        <v>56</v>
      </c>
      <c r="AJ688" s="1">
        <v>44985</v>
      </c>
      <c r="AK688" t="s">
        <v>1159</v>
      </c>
      <c r="AL688">
        <v>215.55</v>
      </c>
      <c r="AM688" t="str">
        <f>"8771119245"</f>
        <v>8771119245</v>
      </c>
      <c r="AN688">
        <v>2023</v>
      </c>
      <c r="AO688">
        <v>274</v>
      </c>
      <c r="AP688">
        <v>195.99</v>
      </c>
      <c r="AQ688">
        <v>0</v>
      </c>
      <c r="AR688">
        <v>0</v>
      </c>
      <c r="BA688">
        <v>195.99</v>
      </c>
      <c r="BB688" s="1">
        <v>44985</v>
      </c>
    </row>
    <row r="689" spans="1:54" x14ac:dyDescent="0.25">
      <c r="A689">
        <v>2023</v>
      </c>
      <c r="B689">
        <v>317</v>
      </c>
      <c r="C689" s="1">
        <v>44985</v>
      </c>
      <c r="D689">
        <v>2023</v>
      </c>
      <c r="E689">
        <v>2022</v>
      </c>
      <c r="F689">
        <v>196</v>
      </c>
      <c r="H689" t="s">
        <v>144</v>
      </c>
      <c r="I689">
        <v>130</v>
      </c>
      <c r="J689">
        <v>0</v>
      </c>
      <c r="K689" t="s">
        <v>128</v>
      </c>
      <c r="S689" t="str">
        <f t="shared" si="66"/>
        <v>31</v>
      </c>
      <c r="T689" t="s">
        <v>122</v>
      </c>
      <c r="W689" t="s">
        <v>1148</v>
      </c>
      <c r="Y689">
        <v>2828</v>
      </c>
      <c r="Z689" t="s">
        <v>146</v>
      </c>
      <c r="AB689" t="str">
        <f t="shared" si="67"/>
        <v>04268260272</v>
      </c>
      <c r="AC689" t="s">
        <v>67</v>
      </c>
      <c r="AF689">
        <v>2023</v>
      </c>
      <c r="AG689">
        <v>101</v>
      </c>
      <c r="AH689" t="str">
        <f t="shared" ref="AH689:AH720" si="68">"1"</f>
        <v>1</v>
      </c>
      <c r="AI689" t="str">
        <f>"57"</f>
        <v>57</v>
      </c>
      <c r="AJ689" s="1">
        <v>44985</v>
      </c>
      <c r="AK689" t="s">
        <v>1160</v>
      </c>
      <c r="AL689">
        <v>17.02</v>
      </c>
      <c r="AM689" t="str">
        <f>"8771191762"</f>
        <v>8771191762</v>
      </c>
      <c r="AN689">
        <v>2023</v>
      </c>
      <c r="AO689">
        <v>274</v>
      </c>
      <c r="AP689">
        <v>12.55</v>
      </c>
      <c r="AQ689">
        <v>0</v>
      </c>
      <c r="AR689">
        <v>0</v>
      </c>
      <c r="BA689">
        <v>12.55</v>
      </c>
      <c r="BB689" s="1">
        <v>44985</v>
      </c>
    </row>
    <row r="690" spans="1:54" x14ac:dyDescent="0.25">
      <c r="A690">
        <v>2023</v>
      </c>
      <c r="B690">
        <v>318</v>
      </c>
      <c r="C690" s="1">
        <v>44985</v>
      </c>
      <c r="D690">
        <v>2023</v>
      </c>
      <c r="E690">
        <v>2022</v>
      </c>
      <c r="F690">
        <v>196</v>
      </c>
      <c r="H690" t="s">
        <v>144</v>
      </c>
      <c r="I690">
        <v>130</v>
      </c>
      <c r="J690">
        <v>0</v>
      </c>
      <c r="K690" t="s">
        <v>128</v>
      </c>
      <c r="S690" t="str">
        <f t="shared" si="66"/>
        <v>31</v>
      </c>
      <c r="T690" t="s">
        <v>122</v>
      </c>
      <c r="W690" t="s">
        <v>1148</v>
      </c>
      <c r="Y690">
        <v>2828</v>
      </c>
      <c r="Z690" t="s">
        <v>146</v>
      </c>
      <c r="AB690" t="str">
        <f t="shared" si="67"/>
        <v>04268260272</v>
      </c>
      <c r="AC690" t="s">
        <v>60</v>
      </c>
      <c r="AF690">
        <v>2023</v>
      </c>
      <c r="AG690">
        <v>99</v>
      </c>
      <c r="AH690" t="str">
        <f t="shared" si="68"/>
        <v>1</v>
      </c>
      <c r="AI690" t="str">
        <f>"55"</f>
        <v>55</v>
      </c>
      <c r="AJ690" s="1">
        <v>44985</v>
      </c>
      <c r="AK690" t="s">
        <v>1158</v>
      </c>
      <c r="AL690">
        <v>28.61</v>
      </c>
      <c r="AM690" t="str">
        <f>"8771077811"</f>
        <v>8771077811</v>
      </c>
      <c r="AN690">
        <v>2023</v>
      </c>
      <c r="AO690">
        <v>274</v>
      </c>
      <c r="AP690">
        <v>2.57</v>
      </c>
      <c r="AQ690">
        <v>0</v>
      </c>
      <c r="AR690">
        <v>26.6</v>
      </c>
      <c r="AS690" t="s">
        <v>194</v>
      </c>
      <c r="AT690">
        <v>25.65</v>
      </c>
      <c r="AU690">
        <v>2.57</v>
      </c>
      <c r="AV690">
        <v>2023</v>
      </c>
      <c r="AW690">
        <v>146</v>
      </c>
      <c r="AX690">
        <v>670</v>
      </c>
      <c r="AY690">
        <v>0</v>
      </c>
      <c r="AZ690" t="s">
        <v>1161</v>
      </c>
      <c r="BA690">
        <v>2.57</v>
      </c>
      <c r="BB690" s="1">
        <v>44985</v>
      </c>
    </row>
    <row r="691" spans="1:54" x14ac:dyDescent="0.25">
      <c r="A691">
        <v>2023</v>
      </c>
      <c r="B691">
        <v>318</v>
      </c>
      <c r="C691" s="1">
        <v>44985</v>
      </c>
      <c r="D691">
        <v>2023</v>
      </c>
      <c r="E691">
        <v>2022</v>
      </c>
      <c r="F691">
        <v>196</v>
      </c>
      <c r="H691" t="s">
        <v>144</v>
      </c>
      <c r="I691">
        <v>130</v>
      </c>
      <c r="J691">
        <v>0</v>
      </c>
      <c r="K691" t="s">
        <v>128</v>
      </c>
      <c r="S691" t="str">
        <f t="shared" si="66"/>
        <v>31</v>
      </c>
      <c r="T691" t="s">
        <v>122</v>
      </c>
      <c r="W691" t="s">
        <v>1148</v>
      </c>
      <c r="Y691">
        <v>2828</v>
      </c>
      <c r="Z691" t="s">
        <v>146</v>
      </c>
      <c r="AB691" t="str">
        <f t="shared" si="67"/>
        <v>04268260272</v>
      </c>
      <c r="AC691" t="s">
        <v>60</v>
      </c>
      <c r="AF691">
        <v>2023</v>
      </c>
      <c r="AG691">
        <v>100</v>
      </c>
      <c r="AH691" t="str">
        <f t="shared" si="68"/>
        <v>1</v>
      </c>
      <c r="AI691" t="str">
        <f>"56"</f>
        <v>56</v>
      </c>
      <c r="AJ691" s="1">
        <v>44985</v>
      </c>
      <c r="AK691" t="s">
        <v>1159</v>
      </c>
      <c r="AL691">
        <v>215.55</v>
      </c>
      <c r="AM691" t="str">
        <f>"8771119245"</f>
        <v>8771119245</v>
      </c>
      <c r="AN691">
        <v>2023</v>
      </c>
      <c r="AO691">
        <v>274</v>
      </c>
      <c r="AP691">
        <v>19.559999999999999</v>
      </c>
      <c r="AQ691">
        <v>0</v>
      </c>
      <c r="AR691">
        <v>26.6</v>
      </c>
      <c r="AS691" t="s">
        <v>194</v>
      </c>
      <c r="AT691">
        <v>195.56</v>
      </c>
      <c r="AU691">
        <v>19.559999999999999</v>
      </c>
      <c r="AV691">
        <v>2023</v>
      </c>
      <c r="AW691">
        <v>146</v>
      </c>
      <c r="AX691">
        <v>670</v>
      </c>
      <c r="AY691">
        <v>0</v>
      </c>
      <c r="AZ691" t="s">
        <v>1161</v>
      </c>
      <c r="BA691">
        <v>19.559999999999999</v>
      </c>
      <c r="BB691" s="1">
        <v>44985</v>
      </c>
    </row>
    <row r="692" spans="1:54" x14ac:dyDescent="0.25">
      <c r="A692">
        <v>2023</v>
      </c>
      <c r="B692">
        <v>318</v>
      </c>
      <c r="C692" s="1">
        <v>44985</v>
      </c>
      <c r="D692">
        <v>2023</v>
      </c>
      <c r="E692">
        <v>2022</v>
      </c>
      <c r="F692">
        <v>196</v>
      </c>
      <c r="H692" t="s">
        <v>144</v>
      </c>
      <c r="I692">
        <v>130</v>
      </c>
      <c r="J692">
        <v>0</v>
      </c>
      <c r="K692" t="s">
        <v>128</v>
      </c>
      <c r="S692" t="str">
        <f t="shared" si="66"/>
        <v>31</v>
      </c>
      <c r="T692" t="s">
        <v>122</v>
      </c>
      <c r="W692" t="s">
        <v>1148</v>
      </c>
      <c r="Y692">
        <v>2828</v>
      </c>
      <c r="Z692" t="s">
        <v>146</v>
      </c>
      <c r="AB692" t="str">
        <f t="shared" si="67"/>
        <v>04268260272</v>
      </c>
      <c r="AC692" t="s">
        <v>60</v>
      </c>
      <c r="AF692">
        <v>2023</v>
      </c>
      <c r="AG692">
        <v>101</v>
      </c>
      <c r="AH692" t="str">
        <f t="shared" si="68"/>
        <v>1</v>
      </c>
      <c r="AI692" t="str">
        <f>"57"</f>
        <v>57</v>
      </c>
      <c r="AJ692" s="1">
        <v>44985</v>
      </c>
      <c r="AK692" t="s">
        <v>1160</v>
      </c>
      <c r="AL692">
        <v>17.02</v>
      </c>
      <c r="AM692" t="str">
        <f>"8771191762"</f>
        <v>8771191762</v>
      </c>
      <c r="AN692">
        <v>2023</v>
      </c>
      <c r="AO692">
        <v>274</v>
      </c>
      <c r="AP692">
        <v>4.47</v>
      </c>
      <c r="AQ692">
        <v>0</v>
      </c>
      <c r="AR692">
        <v>26.6</v>
      </c>
      <c r="AS692" t="s">
        <v>194</v>
      </c>
      <c r="AT692">
        <v>44.65</v>
      </c>
      <c r="AU692">
        <v>4.47</v>
      </c>
      <c r="AV692">
        <v>2023</v>
      </c>
      <c r="AW692">
        <v>146</v>
      </c>
      <c r="AX692">
        <v>670</v>
      </c>
      <c r="AY692">
        <v>0</v>
      </c>
      <c r="AZ692" t="s">
        <v>1161</v>
      </c>
      <c r="BA692">
        <v>4.47</v>
      </c>
      <c r="BB692" s="1">
        <v>44985</v>
      </c>
    </row>
    <row r="693" spans="1:54" x14ac:dyDescent="0.25">
      <c r="A693">
        <v>2023</v>
      </c>
      <c r="B693">
        <v>319</v>
      </c>
      <c r="C693" s="1">
        <v>44985</v>
      </c>
      <c r="D693">
        <v>2023</v>
      </c>
      <c r="E693">
        <v>2023</v>
      </c>
      <c r="F693">
        <v>70</v>
      </c>
      <c r="H693" t="s">
        <v>1162</v>
      </c>
      <c r="I693">
        <v>120</v>
      </c>
      <c r="J693">
        <v>0</v>
      </c>
      <c r="K693" t="s">
        <v>120</v>
      </c>
      <c r="R693" t="s">
        <v>1163</v>
      </c>
      <c r="W693" t="s">
        <v>1164</v>
      </c>
      <c r="Y693">
        <v>4608</v>
      </c>
      <c r="Z693" t="s">
        <v>1165</v>
      </c>
      <c r="AB693" t="str">
        <f>"11403240960"</f>
        <v>11403240960</v>
      </c>
      <c r="AC693" t="s">
        <v>67</v>
      </c>
      <c r="AF693">
        <v>2023</v>
      </c>
      <c r="AG693">
        <v>317</v>
      </c>
      <c r="AH693" t="str">
        <f t="shared" si="68"/>
        <v>1</v>
      </c>
      <c r="AI693" t="str">
        <f>"43"</f>
        <v>43</v>
      </c>
      <c r="AJ693" s="1">
        <v>44973</v>
      </c>
      <c r="AK693" t="s">
        <v>1166</v>
      </c>
      <c r="AL693" s="2">
        <v>5507.15</v>
      </c>
      <c r="AM693" t="str">
        <f>"8878082504"</f>
        <v>8878082504</v>
      </c>
      <c r="AN693">
        <v>2023</v>
      </c>
      <c r="AO693">
        <v>255</v>
      </c>
      <c r="AP693" s="2">
        <v>4514.0600000000004</v>
      </c>
      <c r="AQ693">
        <v>0</v>
      </c>
      <c r="AR693">
        <v>0</v>
      </c>
      <c r="BA693">
        <v>4514.0600000000004</v>
      </c>
      <c r="BB693" s="1">
        <v>44985</v>
      </c>
    </row>
    <row r="694" spans="1:54" x14ac:dyDescent="0.25">
      <c r="A694">
        <v>2023</v>
      </c>
      <c r="B694">
        <v>320</v>
      </c>
      <c r="C694" s="1">
        <v>44985</v>
      </c>
      <c r="D694">
        <v>2023</v>
      </c>
      <c r="E694">
        <v>2023</v>
      </c>
      <c r="F694">
        <v>70</v>
      </c>
      <c r="H694" t="s">
        <v>1162</v>
      </c>
      <c r="I694">
        <v>120</v>
      </c>
      <c r="J694">
        <v>0</v>
      </c>
      <c r="K694" t="s">
        <v>120</v>
      </c>
      <c r="R694" t="s">
        <v>1163</v>
      </c>
      <c r="W694" t="s">
        <v>1164</v>
      </c>
      <c r="Y694">
        <v>4608</v>
      </c>
      <c r="Z694" t="s">
        <v>1165</v>
      </c>
      <c r="AB694" t="str">
        <f>"11403240960"</f>
        <v>11403240960</v>
      </c>
      <c r="AC694" t="s">
        <v>60</v>
      </c>
      <c r="AF694">
        <v>2023</v>
      </c>
      <c r="AG694">
        <v>317</v>
      </c>
      <c r="AH694" t="str">
        <f t="shared" si="68"/>
        <v>1</v>
      </c>
      <c r="AI694" t="str">
        <f>"43"</f>
        <v>43</v>
      </c>
      <c r="AJ694" s="1">
        <v>44973</v>
      </c>
      <c r="AK694" t="s">
        <v>1166</v>
      </c>
      <c r="AL694" s="2">
        <v>5507.15</v>
      </c>
      <c r="AM694" t="str">
        <f>"8878082504"</f>
        <v>8878082504</v>
      </c>
      <c r="AN694">
        <v>2023</v>
      </c>
      <c r="AO694">
        <v>255</v>
      </c>
      <c r="AP694">
        <v>993.09</v>
      </c>
      <c r="AQ694">
        <v>0</v>
      </c>
      <c r="AR694">
        <v>993.09</v>
      </c>
      <c r="AS694" t="s">
        <v>177</v>
      </c>
      <c r="AT694">
        <v>4514.0600000000004</v>
      </c>
      <c r="AU694">
        <v>993.09</v>
      </c>
      <c r="AV694">
        <v>2023</v>
      </c>
      <c r="AW694">
        <v>147</v>
      </c>
      <c r="AX694">
        <v>670</v>
      </c>
      <c r="AY694">
        <v>0</v>
      </c>
      <c r="AZ694" t="s">
        <v>1167</v>
      </c>
      <c r="BA694">
        <v>993.09</v>
      </c>
      <c r="BB694" s="1">
        <v>44985</v>
      </c>
    </row>
    <row r="695" spans="1:54" x14ac:dyDescent="0.25">
      <c r="A695">
        <v>2023</v>
      </c>
      <c r="B695">
        <v>321</v>
      </c>
      <c r="C695" s="1">
        <v>44985</v>
      </c>
      <c r="D695">
        <v>2023</v>
      </c>
      <c r="E695">
        <v>2023</v>
      </c>
      <c r="F695">
        <v>127</v>
      </c>
      <c r="H695" t="s">
        <v>1168</v>
      </c>
      <c r="I695">
        <v>120</v>
      </c>
      <c r="J695">
        <v>0</v>
      </c>
      <c r="K695" t="s">
        <v>120</v>
      </c>
      <c r="R695" t="s">
        <v>1169</v>
      </c>
      <c r="S695" t="str">
        <f>"30"</f>
        <v>30</v>
      </c>
      <c r="T695" t="s">
        <v>78</v>
      </c>
      <c r="W695" t="s">
        <v>1170</v>
      </c>
      <c r="Y695">
        <v>2327</v>
      </c>
      <c r="Z695" t="s">
        <v>1171</v>
      </c>
      <c r="AB695" t="str">
        <f>"11476541005"</f>
        <v>11476541005</v>
      </c>
      <c r="AC695" t="s">
        <v>60</v>
      </c>
      <c r="AF695">
        <v>2023</v>
      </c>
      <c r="AG695">
        <v>583</v>
      </c>
      <c r="AH695" t="str">
        <f t="shared" si="68"/>
        <v>1</v>
      </c>
      <c r="AI695" t="s">
        <v>1172</v>
      </c>
      <c r="AJ695" s="1">
        <v>44977</v>
      </c>
      <c r="AK695" t="s">
        <v>1170</v>
      </c>
      <c r="AL695">
        <v>299.99</v>
      </c>
      <c r="AM695" t="str">
        <f>"9107336696"</f>
        <v>9107336696</v>
      </c>
      <c r="AP695">
        <v>11.54</v>
      </c>
      <c r="AQ695">
        <v>11.54</v>
      </c>
      <c r="AR695">
        <v>11.54</v>
      </c>
      <c r="AS695" t="s">
        <v>344</v>
      </c>
      <c r="AT695">
        <v>288.45</v>
      </c>
      <c r="AU695">
        <v>11.54</v>
      </c>
      <c r="AV695">
        <v>2023</v>
      </c>
      <c r="AW695">
        <v>148</v>
      </c>
      <c r="AX695">
        <v>670</v>
      </c>
      <c r="AY695">
        <v>0</v>
      </c>
      <c r="AZ695" t="s">
        <v>1173</v>
      </c>
      <c r="BA695">
        <v>11.54</v>
      </c>
      <c r="BB695" s="1">
        <v>44985</v>
      </c>
    </row>
    <row r="696" spans="1:54" x14ac:dyDescent="0.25">
      <c r="A696">
        <v>2023</v>
      </c>
      <c r="B696">
        <v>322</v>
      </c>
      <c r="C696" s="1">
        <v>44985</v>
      </c>
      <c r="D696">
        <v>2023</v>
      </c>
      <c r="E696">
        <v>2023</v>
      </c>
      <c r="F696">
        <v>3</v>
      </c>
      <c r="H696" t="s">
        <v>1174</v>
      </c>
      <c r="I696">
        <v>120</v>
      </c>
      <c r="J696">
        <v>0</v>
      </c>
      <c r="K696" t="s">
        <v>120</v>
      </c>
      <c r="S696" t="str">
        <f>"31"</f>
        <v>31</v>
      </c>
      <c r="T696" t="s">
        <v>122</v>
      </c>
      <c r="W696" t="s">
        <v>1175</v>
      </c>
      <c r="Y696">
        <v>1371</v>
      </c>
      <c r="Z696" t="s">
        <v>1176</v>
      </c>
      <c r="AB696" t="s">
        <v>1177</v>
      </c>
      <c r="AC696" t="s">
        <v>60</v>
      </c>
      <c r="AF696">
        <v>2023</v>
      </c>
      <c r="AG696">
        <v>397</v>
      </c>
      <c r="AH696" t="str">
        <f t="shared" si="68"/>
        <v>1</v>
      </c>
      <c r="AI696" t="s">
        <v>1178</v>
      </c>
      <c r="AJ696" s="1">
        <v>44974</v>
      </c>
      <c r="AK696" t="s">
        <v>1175</v>
      </c>
      <c r="AL696">
        <v>41.48</v>
      </c>
      <c r="AM696" t="str">
        <f>"9063300437"</f>
        <v>9063300437</v>
      </c>
      <c r="AP696">
        <v>7.48</v>
      </c>
      <c r="AQ696">
        <v>0</v>
      </c>
      <c r="AR696">
        <v>7.48</v>
      </c>
      <c r="AS696" t="s">
        <v>177</v>
      </c>
      <c r="AT696">
        <v>34</v>
      </c>
      <c r="AU696">
        <v>7.48</v>
      </c>
      <c r="AV696">
        <v>2023</v>
      </c>
      <c r="AW696">
        <v>149</v>
      </c>
      <c r="AX696">
        <v>670</v>
      </c>
      <c r="AY696">
        <v>0</v>
      </c>
      <c r="AZ696" t="s">
        <v>1179</v>
      </c>
      <c r="BA696">
        <v>7.48</v>
      </c>
      <c r="BB696" s="1">
        <v>44985</v>
      </c>
    </row>
    <row r="697" spans="1:54" x14ac:dyDescent="0.25">
      <c r="A697">
        <v>2023</v>
      </c>
      <c r="B697">
        <v>323</v>
      </c>
      <c r="C697" s="1">
        <v>44988</v>
      </c>
      <c r="D697">
        <v>2023</v>
      </c>
      <c r="E697">
        <v>2021</v>
      </c>
      <c r="F697">
        <v>476</v>
      </c>
      <c r="H697" t="s">
        <v>1180</v>
      </c>
      <c r="I697">
        <v>245</v>
      </c>
      <c r="J697">
        <v>0</v>
      </c>
      <c r="K697" t="s">
        <v>1181</v>
      </c>
      <c r="R697" t="s">
        <v>1182</v>
      </c>
      <c r="S697" t="str">
        <f>"31"</f>
        <v>31</v>
      </c>
      <c r="T697" t="s">
        <v>122</v>
      </c>
      <c r="W697" t="s">
        <v>1183</v>
      </c>
      <c r="Y697">
        <v>3875</v>
      </c>
      <c r="Z697" t="s">
        <v>1184</v>
      </c>
      <c r="AB697" t="str">
        <f>"02786330270"</f>
        <v>02786330270</v>
      </c>
      <c r="AC697" t="s">
        <v>116</v>
      </c>
      <c r="AD697" t="s">
        <v>1185</v>
      </c>
      <c r="AF697">
        <v>2022</v>
      </c>
      <c r="AG697">
        <v>3626</v>
      </c>
      <c r="AH697" t="str">
        <f t="shared" si="68"/>
        <v>1</v>
      </c>
      <c r="AI697" t="str">
        <f>"268"</f>
        <v>268</v>
      </c>
      <c r="AJ697" s="1">
        <v>44888</v>
      </c>
      <c r="AK697" t="s">
        <v>1183</v>
      </c>
      <c r="AL697" s="2">
        <v>32496.79</v>
      </c>
      <c r="AM697" t="str">
        <f>"8492831928"</f>
        <v>8492831928</v>
      </c>
      <c r="AN697">
        <v>2023</v>
      </c>
      <c r="AO697">
        <v>269</v>
      </c>
      <c r="AP697" s="2">
        <v>32496.79</v>
      </c>
      <c r="AQ697">
        <v>0</v>
      </c>
      <c r="AR697" s="2">
        <v>5860.08</v>
      </c>
      <c r="AS697" t="s">
        <v>177</v>
      </c>
      <c r="AT697">
        <v>26636.71</v>
      </c>
      <c r="AU697">
        <v>5860.08</v>
      </c>
      <c r="AV697">
        <v>2023</v>
      </c>
      <c r="AW697">
        <v>150</v>
      </c>
      <c r="AX697">
        <v>670</v>
      </c>
      <c r="AY697">
        <v>0</v>
      </c>
      <c r="AZ697" t="s">
        <v>1186</v>
      </c>
      <c r="BA697">
        <v>32496.79</v>
      </c>
      <c r="BB697" s="1">
        <v>44988</v>
      </c>
    </row>
    <row r="698" spans="1:54" x14ac:dyDescent="0.25">
      <c r="A698">
        <v>2023</v>
      </c>
      <c r="B698">
        <v>324</v>
      </c>
      <c r="C698" s="1">
        <v>44988</v>
      </c>
      <c r="D698">
        <v>2023</v>
      </c>
      <c r="E698">
        <v>2021</v>
      </c>
      <c r="F698">
        <v>476</v>
      </c>
      <c r="H698" t="s">
        <v>1180</v>
      </c>
      <c r="I698">
        <v>245</v>
      </c>
      <c r="J698">
        <v>0</v>
      </c>
      <c r="K698" t="s">
        <v>1181</v>
      </c>
      <c r="R698" t="s">
        <v>1182</v>
      </c>
      <c r="S698" t="str">
        <f>"31"</f>
        <v>31</v>
      </c>
      <c r="T698" t="s">
        <v>122</v>
      </c>
      <c r="W698" t="s">
        <v>1183</v>
      </c>
      <c r="Y698">
        <v>4328</v>
      </c>
      <c r="Z698" t="s">
        <v>1187</v>
      </c>
      <c r="AA698" t="s">
        <v>788</v>
      </c>
      <c r="AB698" t="s">
        <v>1188</v>
      </c>
      <c r="AC698" t="s">
        <v>116</v>
      </c>
      <c r="AD698" t="s">
        <v>1189</v>
      </c>
      <c r="AF698">
        <v>2022</v>
      </c>
      <c r="AG698">
        <v>3625</v>
      </c>
      <c r="AH698" t="str">
        <f t="shared" si="68"/>
        <v>1</v>
      </c>
      <c r="AI698" t="s">
        <v>1190</v>
      </c>
      <c r="AJ698" s="1">
        <v>44888</v>
      </c>
      <c r="AK698" t="s">
        <v>1183</v>
      </c>
      <c r="AL698" s="2">
        <v>4687.03</v>
      </c>
      <c r="AM698" t="str">
        <f>"8491539163"</f>
        <v>8491539163</v>
      </c>
      <c r="AN698">
        <v>2023</v>
      </c>
      <c r="AO698">
        <v>270</v>
      </c>
      <c r="AP698" s="2">
        <v>4687.03</v>
      </c>
      <c r="AQ698">
        <v>0</v>
      </c>
      <c r="AR698">
        <v>753.3</v>
      </c>
      <c r="AS698" t="str">
        <f>"1040"</f>
        <v>1040</v>
      </c>
      <c r="AT698">
        <v>3766.5</v>
      </c>
      <c r="AU698">
        <v>753.3</v>
      </c>
      <c r="AV698">
        <v>2023</v>
      </c>
      <c r="AW698">
        <v>151</v>
      </c>
      <c r="AX698">
        <v>620</v>
      </c>
      <c r="AY698">
        <v>0</v>
      </c>
      <c r="AZ698" t="s">
        <v>1191</v>
      </c>
      <c r="BA698">
        <v>4687.03</v>
      </c>
      <c r="BB698" s="1">
        <v>44988</v>
      </c>
    </row>
    <row r="699" spans="1:54" x14ac:dyDescent="0.25">
      <c r="A699">
        <v>2023</v>
      </c>
      <c r="B699">
        <v>325</v>
      </c>
      <c r="C699" s="1">
        <v>44988</v>
      </c>
      <c r="D699">
        <v>2023</v>
      </c>
      <c r="E699">
        <v>2021</v>
      </c>
      <c r="F699">
        <v>476</v>
      </c>
      <c r="H699" t="s">
        <v>1180</v>
      </c>
      <c r="I699">
        <v>245</v>
      </c>
      <c r="J699">
        <v>0</v>
      </c>
      <c r="K699" t="s">
        <v>1181</v>
      </c>
      <c r="R699" t="s">
        <v>1182</v>
      </c>
      <c r="S699" t="str">
        <f>"31"</f>
        <v>31</v>
      </c>
      <c r="T699" t="s">
        <v>122</v>
      </c>
      <c r="W699" t="s">
        <v>1183</v>
      </c>
      <c r="Y699">
        <v>4460</v>
      </c>
      <c r="Z699" t="s">
        <v>1192</v>
      </c>
      <c r="AB699" t="s">
        <v>1193</v>
      </c>
      <c r="AC699" t="s">
        <v>116</v>
      </c>
      <c r="AD699" t="s">
        <v>1194</v>
      </c>
      <c r="AF699">
        <v>2023</v>
      </c>
      <c r="AG699">
        <v>307</v>
      </c>
      <c r="AH699" t="str">
        <f t="shared" si="68"/>
        <v>1</v>
      </c>
      <c r="AI699" t="str">
        <f>"4"</f>
        <v>4</v>
      </c>
      <c r="AJ699" s="1">
        <v>44951</v>
      </c>
      <c r="AK699" t="s">
        <v>1183</v>
      </c>
      <c r="AL699" s="2">
        <v>1433.68</v>
      </c>
      <c r="AM699" t="str">
        <f>"8902746275"</f>
        <v>8902746275</v>
      </c>
      <c r="AN699">
        <v>2023</v>
      </c>
      <c r="AO699">
        <v>271</v>
      </c>
      <c r="AP699" s="2">
        <v>1433.68</v>
      </c>
      <c r="AQ699">
        <v>0</v>
      </c>
      <c r="AR699">
        <v>225.99</v>
      </c>
      <c r="AS699" t="str">
        <f>"1040"</f>
        <v>1040</v>
      </c>
      <c r="AT699">
        <v>1129.95</v>
      </c>
      <c r="AU699">
        <v>225.99</v>
      </c>
      <c r="AV699">
        <v>2023</v>
      </c>
      <c r="AW699">
        <v>152</v>
      </c>
      <c r="AX699">
        <v>620</v>
      </c>
      <c r="AY699">
        <v>0</v>
      </c>
      <c r="AZ699" t="s">
        <v>1195</v>
      </c>
      <c r="BA699">
        <v>1433.68</v>
      </c>
      <c r="BB699" s="1">
        <v>44988</v>
      </c>
    </row>
    <row r="700" spans="1:54" x14ac:dyDescent="0.25">
      <c r="A700">
        <v>2023</v>
      </c>
      <c r="B700">
        <v>326</v>
      </c>
      <c r="C700" s="1">
        <v>44988</v>
      </c>
      <c r="D700">
        <v>2023</v>
      </c>
      <c r="E700">
        <v>2019</v>
      </c>
      <c r="F700">
        <v>602</v>
      </c>
      <c r="H700" t="s">
        <v>1196</v>
      </c>
      <c r="I700">
        <v>200</v>
      </c>
      <c r="J700">
        <v>0</v>
      </c>
      <c r="K700" t="s">
        <v>293</v>
      </c>
      <c r="R700" t="s">
        <v>1197</v>
      </c>
      <c r="S700" t="str">
        <f>"30"</f>
        <v>30</v>
      </c>
      <c r="T700" t="s">
        <v>78</v>
      </c>
      <c r="W700" t="s">
        <v>1198</v>
      </c>
      <c r="Y700">
        <v>3875</v>
      </c>
      <c r="Z700" t="s">
        <v>1184</v>
      </c>
      <c r="AB700" t="str">
        <f>"02786330270"</f>
        <v>02786330270</v>
      </c>
      <c r="AC700" t="s">
        <v>116</v>
      </c>
      <c r="AD700" t="s">
        <v>1199</v>
      </c>
      <c r="AF700">
        <v>2022</v>
      </c>
      <c r="AG700">
        <v>3813</v>
      </c>
      <c r="AH700" t="str">
        <f t="shared" si="68"/>
        <v>1</v>
      </c>
      <c r="AI700" t="str">
        <f>"300"</f>
        <v>300</v>
      </c>
      <c r="AJ700" s="1">
        <v>44908</v>
      </c>
      <c r="AK700" t="s">
        <v>1198</v>
      </c>
      <c r="AL700" s="2">
        <v>12352.49</v>
      </c>
      <c r="AM700" t="str">
        <f>"8634245867"</f>
        <v>8634245867</v>
      </c>
      <c r="AN700">
        <v>2023</v>
      </c>
      <c r="AO700">
        <v>277</v>
      </c>
      <c r="AP700" s="2">
        <v>12352.49</v>
      </c>
      <c r="AQ700">
        <v>0</v>
      </c>
      <c r="AR700" s="2">
        <v>2227.5</v>
      </c>
      <c r="AS700" t="s">
        <v>177</v>
      </c>
      <c r="AT700">
        <v>10124.99</v>
      </c>
      <c r="AU700">
        <v>2227.5</v>
      </c>
      <c r="AV700">
        <v>2023</v>
      </c>
      <c r="AW700">
        <v>153</v>
      </c>
      <c r="AX700">
        <v>670</v>
      </c>
      <c r="AY700">
        <v>0</v>
      </c>
      <c r="AZ700" t="s">
        <v>1200</v>
      </c>
      <c r="BA700">
        <v>12352.49</v>
      </c>
      <c r="BB700" s="1">
        <v>44988</v>
      </c>
    </row>
    <row r="701" spans="1:54" x14ac:dyDescent="0.25">
      <c r="A701">
        <v>2023</v>
      </c>
      <c r="B701">
        <v>327</v>
      </c>
      <c r="C701" s="1">
        <v>44988</v>
      </c>
      <c r="D701">
        <v>2023</v>
      </c>
      <c r="E701">
        <v>2021</v>
      </c>
      <c r="F701">
        <v>642</v>
      </c>
      <c r="H701" t="s">
        <v>1201</v>
      </c>
      <c r="I701">
        <v>200</v>
      </c>
      <c r="J701">
        <v>0</v>
      </c>
      <c r="K701" t="s">
        <v>293</v>
      </c>
      <c r="R701" t="s">
        <v>1202</v>
      </c>
      <c r="S701" t="str">
        <f t="shared" ref="S701:S707" si="69">"31"</f>
        <v>31</v>
      </c>
      <c r="T701" t="s">
        <v>122</v>
      </c>
      <c r="W701" t="s">
        <v>1203</v>
      </c>
      <c r="Y701">
        <v>3875</v>
      </c>
      <c r="Z701" t="s">
        <v>1184</v>
      </c>
      <c r="AB701" t="str">
        <f>"02786330270"</f>
        <v>02786330270</v>
      </c>
      <c r="AC701" t="s">
        <v>116</v>
      </c>
      <c r="AD701" t="s">
        <v>1199</v>
      </c>
      <c r="AF701">
        <v>2022</v>
      </c>
      <c r="AG701">
        <v>3812</v>
      </c>
      <c r="AH701" t="str">
        <f t="shared" si="68"/>
        <v>1</v>
      </c>
      <c r="AI701" t="str">
        <f>"301"</f>
        <v>301</v>
      </c>
      <c r="AJ701" s="1">
        <v>44908</v>
      </c>
      <c r="AK701" t="s">
        <v>1203</v>
      </c>
      <c r="AL701" s="2">
        <v>6377.65</v>
      </c>
      <c r="AM701" t="str">
        <f>"8634245850"</f>
        <v>8634245850</v>
      </c>
      <c r="AN701">
        <v>2023</v>
      </c>
      <c r="AO701">
        <v>278</v>
      </c>
      <c r="AP701" s="2">
        <v>6377.65</v>
      </c>
      <c r="AQ701">
        <v>0</v>
      </c>
      <c r="AR701" s="2">
        <v>1150.07</v>
      </c>
      <c r="AS701" t="s">
        <v>177</v>
      </c>
      <c r="AT701">
        <v>5227.58</v>
      </c>
      <c r="AU701">
        <v>1150.07</v>
      </c>
      <c r="AV701">
        <v>2023</v>
      </c>
      <c r="AW701">
        <v>154</v>
      </c>
      <c r="AX701">
        <v>670</v>
      </c>
      <c r="AY701">
        <v>0</v>
      </c>
      <c r="AZ701" t="s">
        <v>1204</v>
      </c>
      <c r="BA701">
        <v>6377.65</v>
      </c>
      <c r="BB701" s="1">
        <v>44988</v>
      </c>
    </row>
    <row r="702" spans="1:54" x14ac:dyDescent="0.25">
      <c r="A702">
        <v>2023</v>
      </c>
      <c r="B702">
        <v>328</v>
      </c>
      <c r="C702" s="1">
        <v>44988</v>
      </c>
      <c r="D702">
        <v>2023</v>
      </c>
      <c r="E702">
        <v>2022</v>
      </c>
      <c r="F702">
        <v>554</v>
      </c>
      <c r="H702" t="s">
        <v>1205</v>
      </c>
      <c r="I702">
        <v>200</v>
      </c>
      <c r="J702">
        <v>0</v>
      </c>
      <c r="K702" t="s">
        <v>293</v>
      </c>
      <c r="R702" t="s">
        <v>1206</v>
      </c>
      <c r="S702" t="str">
        <f t="shared" si="69"/>
        <v>31</v>
      </c>
      <c r="T702" t="s">
        <v>122</v>
      </c>
      <c r="W702" t="s">
        <v>1207</v>
      </c>
      <c r="Y702">
        <v>265</v>
      </c>
      <c r="Z702" t="s">
        <v>1208</v>
      </c>
      <c r="AA702" t="s">
        <v>1209</v>
      </c>
      <c r="AB702" t="s">
        <v>1210</v>
      </c>
      <c r="AC702" t="s">
        <v>116</v>
      </c>
      <c r="AD702" t="s">
        <v>1211</v>
      </c>
      <c r="AF702">
        <v>2023</v>
      </c>
      <c r="AG702">
        <v>41</v>
      </c>
      <c r="AH702" t="str">
        <f t="shared" si="68"/>
        <v>1</v>
      </c>
      <c r="AI702" t="str">
        <f>"1"</f>
        <v>1</v>
      </c>
      <c r="AJ702" s="1">
        <v>44945</v>
      </c>
      <c r="AK702" t="s">
        <v>1212</v>
      </c>
      <c r="AL702" s="2">
        <v>7295.6</v>
      </c>
      <c r="AM702" t="str">
        <f>"8868795940"</f>
        <v>8868795940</v>
      </c>
      <c r="AN702">
        <v>2023</v>
      </c>
      <c r="AO702">
        <v>49</v>
      </c>
      <c r="AP702" s="2">
        <v>7295.6</v>
      </c>
      <c r="AQ702">
        <v>0</v>
      </c>
      <c r="AR702" s="2">
        <v>1150</v>
      </c>
      <c r="AS702" t="str">
        <f>"1040"</f>
        <v>1040</v>
      </c>
      <c r="AT702">
        <v>5750</v>
      </c>
      <c r="AU702">
        <v>1150</v>
      </c>
      <c r="AV702">
        <v>2023</v>
      </c>
      <c r="AW702">
        <v>155</v>
      </c>
      <c r="AX702">
        <v>620</v>
      </c>
      <c r="AY702">
        <v>0</v>
      </c>
      <c r="AZ702" t="s">
        <v>1213</v>
      </c>
      <c r="BA702">
        <v>7295.6</v>
      </c>
      <c r="BB702" s="1">
        <v>44988</v>
      </c>
    </row>
    <row r="703" spans="1:54" x14ac:dyDescent="0.25">
      <c r="A703">
        <v>2023</v>
      </c>
      <c r="B703">
        <v>329</v>
      </c>
      <c r="C703" s="1">
        <v>44989</v>
      </c>
      <c r="D703">
        <v>2023</v>
      </c>
      <c r="E703">
        <v>2022</v>
      </c>
      <c r="F703">
        <v>479</v>
      </c>
      <c r="H703" t="s">
        <v>1214</v>
      </c>
      <c r="I703">
        <v>120</v>
      </c>
      <c r="J703">
        <v>0</v>
      </c>
      <c r="K703" t="s">
        <v>120</v>
      </c>
      <c r="R703" t="s">
        <v>1215</v>
      </c>
      <c r="S703" t="str">
        <f t="shared" si="69"/>
        <v>31</v>
      </c>
      <c r="T703" t="s">
        <v>122</v>
      </c>
      <c r="W703" t="s">
        <v>1216</v>
      </c>
      <c r="Y703">
        <v>1621</v>
      </c>
      <c r="Z703" t="s">
        <v>1217</v>
      </c>
      <c r="AB703" t="str">
        <f>"03753600273"</f>
        <v>03753600273</v>
      </c>
      <c r="AC703" t="s">
        <v>116</v>
      </c>
      <c r="AD703" t="s">
        <v>1218</v>
      </c>
      <c r="AF703">
        <v>2022</v>
      </c>
      <c r="AG703">
        <v>3724</v>
      </c>
      <c r="AH703" t="str">
        <f t="shared" si="68"/>
        <v>1</v>
      </c>
      <c r="AI703" t="s">
        <v>1219</v>
      </c>
      <c r="AJ703" s="1">
        <v>44894</v>
      </c>
      <c r="AK703" t="s">
        <v>1216</v>
      </c>
      <c r="AL703">
        <v>512.02</v>
      </c>
      <c r="AM703" t="str">
        <f>"8599872000"</f>
        <v>8599872000</v>
      </c>
      <c r="AN703">
        <v>2023</v>
      </c>
      <c r="AO703">
        <v>55</v>
      </c>
      <c r="AP703">
        <v>512.02</v>
      </c>
      <c r="AQ703">
        <v>0</v>
      </c>
      <c r="AR703">
        <v>92.33</v>
      </c>
      <c r="AS703" t="s">
        <v>177</v>
      </c>
      <c r="AT703">
        <v>419.69</v>
      </c>
      <c r="AU703">
        <v>92.33</v>
      </c>
      <c r="AV703">
        <v>2023</v>
      </c>
      <c r="AW703">
        <v>156</v>
      </c>
      <c r="AX703">
        <v>670</v>
      </c>
      <c r="AY703">
        <v>0</v>
      </c>
      <c r="AZ703" t="s">
        <v>1220</v>
      </c>
      <c r="BA703">
        <v>512.02</v>
      </c>
      <c r="BB703" s="1">
        <v>44989</v>
      </c>
    </row>
    <row r="704" spans="1:54" x14ac:dyDescent="0.25">
      <c r="A704">
        <v>2023</v>
      </c>
      <c r="B704">
        <v>330</v>
      </c>
      <c r="C704" s="1">
        <v>44989</v>
      </c>
      <c r="D704">
        <v>2023</v>
      </c>
      <c r="E704">
        <v>2022</v>
      </c>
      <c r="F704">
        <v>681</v>
      </c>
      <c r="H704" t="s">
        <v>1221</v>
      </c>
      <c r="I704">
        <v>120</v>
      </c>
      <c r="J704">
        <v>0</v>
      </c>
      <c r="K704" t="s">
        <v>120</v>
      </c>
      <c r="R704" t="s">
        <v>1222</v>
      </c>
      <c r="S704" t="str">
        <f t="shared" si="69"/>
        <v>31</v>
      </c>
      <c r="T704" t="s">
        <v>122</v>
      </c>
      <c r="W704" t="s">
        <v>1223</v>
      </c>
      <c r="Y704">
        <v>1621</v>
      </c>
      <c r="Z704" t="s">
        <v>1217</v>
      </c>
      <c r="AB704" t="str">
        <f>"03753600273"</f>
        <v>03753600273</v>
      </c>
      <c r="AC704" t="s">
        <v>116</v>
      </c>
      <c r="AD704" t="s">
        <v>1224</v>
      </c>
      <c r="AF704">
        <v>2022</v>
      </c>
      <c r="AG704">
        <v>3987</v>
      </c>
      <c r="AH704" t="str">
        <f t="shared" si="68"/>
        <v>1</v>
      </c>
      <c r="AI704" t="s">
        <v>1225</v>
      </c>
      <c r="AJ704" s="1">
        <v>44910</v>
      </c>
      <c r="AK704" t="s">
        <v>1223</v>
      </c>
      <c r="AL704" s="2">
        <v>1413.13</v>
      </c>
      <c r="AM704" t="str">
        <f>"8687533529"</f>
        <v>8687533529</v>
      </c>
      <c r="AN704">
        <v>2023</v>
      </c>
      <c r="AO704">
        <v>68</v>
      </c>
      <c r="AP704" s="2">
        <v>1413.13</v>
      </c>
      <c r="AQ704">
        <v>0</v>
      </c>
      <c r="AR704">
        <v>254.83</v>
      </c>
      <c r="AS704" t="s">
        <v>177</v>
      </c>
      <c r="AT704">
        <v>1158.3</v>
      </c>
      <c r="AU704">
        <v>254.83</v>
      </c>
      <c r="AV704">
        <v>2023</v>
      </c>
      <c r="AW704">
        <v>157</v>
      </c>
      <c r="AX704">
        <v>670</v>
      </c>
      <c r="AY704">
        <v>0</v>
      </c>
      <c r="AZ704" t="s">
        <v>1226</v>
      </c>
      <c r="BA704">
        <v>1413.13</v>
      </c>
      <c r="BB704" s="1">
        <v>44989</v>
      </c>
    </row>
    <row r="705" spans="1:54" x14ac:dyDescent="0.25">
      <c r="A705">
        <v>2023</v>
      </c>
      <c r="B705">
        <v>331</v>
      </c>
      <c r="C705" s="1">
        <v>44989</v>
      </c>
      <c r="D705">
        <v>2023</v>
      </c>
      <c r="E705">
        <v>2022</v>
      </c>
      <c r="F705">
        <v>652</v>
      </c>
      <c r="H705" t="s">
        <v>1227</v>
      </c>
      <c r="I705">
        <v>120</v>
      </c>
      <c r="J705">
        <v>0</v>
      </c>
      <c r="K705" t="s">
        <v>120</v>
      </c>
      <c r="R705" t="s">
        <v>1228</v>
      </c>
      <c r="S705" t="str">
        <f t="shared" si="69"/>
        <v>31</v>
      </c>
      <c r="T705" t="s">
        <v>122</v>
      </c>
      <c r="W705" t="s">
        <v>1229</v>
      </c>
      <c r="Y705">
        <v>1621</v>
      </c>
      <c r="Z705" t="s">
        <v>1217</v>
      </c>
      <c r="AB705" t="str">
        <f>"03753600273"</f>
        <v>03753600273</v>
      </c>
      <c r="AC705" t="s">
        <v>116</v>
      </c>
      <c r="AD705" t="s">
        <v>1224</v>
      </c>
      <c r="AF705">
        <v>2022</v>
      </c>
      <c r="AG705">
        <v>3992</v>
      </c>
      <c r="AH705" t="str">
        <f t="shared" si="68"/>
        <v>1</v>
      </c>
      <c r="AI705" t="s">
        <v>1230</v>
      </c>
      <c r="AJ705" s="1">
        <v>44908</v>
      </c>
      <c r="AK705" t="s">
        <v>1231</v>
      </c>
      <c r="AL705" s="2">
        <v>2216.6799999999998</v>
      </c>
      <c r="AM705" t="str">
        <f>"8686975952"</f>
        <v>8686975952</v>
      </c>
      <c r="AN705">
        <v>2023</v>
      </c>
      <c r="AO705">
        <v>73</v>
      </c>
      <c r="AP705" s="2">
        <v>1388.3</v>
      </c>
      <c r="AQ705">
        <v>0</v>
      </c>
      <c r="AR705">
        <v>399.73</v>
      </c>
      <c r="AS705" t="s">
        <v>177</v>
      </c>
      <c r="AT705">
        <v>1816.95</v>
      </c>
      <c r="AU705">
        <v>399.73</v>
      </c>
      <c r="AV705">
        <v>2023</v>
      </c>
      <c r="AW705">
        <v>158</v>
      </c>
      <c r="AX705">
        <v>670</v>
      </c>
      <c r="AY705">
        <v>0</v>
      </c>
      <c r="AZ705" t="s">
        <v>1232</v>
      </c>
      <c r="BA705">
        <v>1388.3</v>
      </c>
      <c r="BB705" s="1">
        <v>44989</v>
      </c>
    </row>
    <row r="706" spans="1:54" x14ac:dyDescent="0.25">
      <c r="A706">
        <v>2023</v>
      </c>
      <c r="B706">
        <v>332</v>
      </c>
      <c r="C706" s="1">
        <v>44989</v>
      </c>
      <c r="D706">
        <v>2023</v>
      </c>
      <c r="E706">
        <v>2022</v>
      </c>
      <c r="F706">
        <v>653</v>
      </c>
      <c r="H706" t="s">
        <v>1227</v>
      </c>
      <c r="I706">
        <v>149</v>
      </c>
      <c r="J706">
        <v>0</v>
      </c>
      <c r="K706" t="s">
        <v>277</v>
      </c>
      <c r="R706" t="s">
        <v>1228</v>
      </c>
      <c r="S706" t="str">
        <f t="shared" si="69"/>
        <v>31</v>
      </c>
      <c r="T706" t="s">
        <v>122</v>
      </c>
      <c r="W706" t="s">
        <v>1229</v>
      </c>
      <c r="Y706">
        <v>1621</v>
      </c>
      <c r="Z706" t="s">
        <v>1217</v>
      </c>
      <c r="AB706" t="str">
        <f>"03753600273"</f>
        <v>03753600273</v>
      </c>
      <c r="AC706" t="s">
        <v>116</v>
      </c>
      <c r="AD706" t="s">
        <v>1224</v>
      </c>
      <c r="AF706">
        <v>2022</v>
      </c>
      <c r="AG706">
        <v>3992</v>
      </c>
      <c r="AH706" t="str">
        <f t="shared" si="68"/>
        <v>1</v>
      </c>
      <c r="AI706" t="s">
        <v>1230</v>
      </c>
      <c r="AJ706" s="1">
        <v>44908</v>
      </c>
      <c r="AK706" t="s">
        <v>1231</v>
      </c>
      <c r="AL706" s="2">
        <v>2216.6799999999998</v>
      </c>
      <c r="AM706" t="str">
        <f>"8686975952"</f>
        <v>8686975952</v>
      </c>
      <c r="AN706">
        <v>2023</v>
      </c>
      <c r="AO706">
        <v>74</v>
      </c>
      <c r="AP706">
        <v>828.38</v>
      </c>
      <c r="AQ706">
        <v>0</v>
      </c>
      <c r="AR706">
        <v>0</v>
      </c>
      <c r="BA706">
        <v>828.38</v>
      </c>
      <c r="BB706" s="1">
        <v>44989</v>
      </c>
    </row>
    <row r="707" spans="1:54" x14ac:dyDescent="0.25">
      <c r="A707">
        <v>2023</v>
      </c>
      <c r="B707">
        <v>333</v>
      </c>
      <c r="C707" s="1">
        <v>44989</v>
      </c>
      <c r="D707">
        <v>2023</v>
      </c>
      <c r="E707">
        <v>2022</v>
      </c>
      <c r="F707">
        <v>671</v>
      </c>
      <c r="H707" t="s">
        <v>1233</v>
      </c>
      <c r="I707">
        <v>149</v>
      </c>
      <c r="J707">
        <v>0</v>
      </c>
      <c r="K707" t="s">
        <v>277</v>
      </c>
      <c r="R707" t="s">
        <v>1234</v>
      </c>
      <c r="S707" t="str">
        <f t="shared" si="69"/>
        <v>31</v>
      </c>
      <c r="T707" t="s">
        <v>122</v>
      </c>
      <c r="W707" t="s">
        <v>1235</v>
      </c>
      <c r="Y707">
        <v>1621</v>
      </c>
      <c r="Z707" t="s">
        <v>1217</v>
      </c>
      <c r="AB707" t="str">
        <f>"03753600273"</f>
        <v>03753600273</v>
      </c>
      <c r="AC707" t="s">
        <v>116</v>
      </c>
      <c r="AD707" t="s">
        <v>1224</v>
      </c>
      <c r="AF707">
        <v>2022</v>
      </c>
      <c r="AG707">
        <v>3993</v>
      </c>
      <c r="AH707" t="str">
        <f t="shared" si="68"/>
        <v>1</v>
      </c>
      <c r="AI707" t="s">
        <v>1236</v>
      </c>
      <c r="AJ707" s="1">
        <v>44908</v>
      </c>
      <c r="AK707" t="s">
        <v>1235</v>
      </c>
      <c r="AL707">
        <v>366</v>
      </c>
      <c r="AM707" t="str">
        <f>"8686920270"</f>
        <v>8686920270</v>
      </c>
      <c r="AN707">
        <v>2023</v>
      </c>
      <c r="AO707">
        <v>75</v>
      </c>
      <c r="AP707">
        <v>366</v>
      </c>
      <c r="AQ707">
        <v>0</v>
      </c>
      <c r="AR707">
        <v>66</v>
      </c>
      <c r="AS707" t="s">
        <v>177</v>
      </c>
      <c r="AT707">
        <v>300</v>
      </c>
      <c r="AU707">
        <v>66</v>
      </c>
      <c r="AV707">
        <v>2023</v>
      </c>
      <c r="AW707">
        <v>159</v>
      </c>
      <c r="AX707">
        <v>670</v>
      </c>
      <c r="AY707">
        <v>0</v>
      </c>
      <c r="AZ707" t="s">
        <v>1237</v>
      </c>
      <c r="BA707">
        <v>366</v>
      </c>
      <c r="BB707" s="1">
        <v>44989</v>
      </c>
    </row>
    <row r="708" spans="1:54" x14ac:dyDescent="0.25">
      <c r="A708">
        <v>2023</v>
      </c>
      <c r="B708">
        <v>334</v>
      </c>
      <c r="C708" s="1">
        <v>44989</v>
      </c>
      <c r="D708">
        <v>2023</v>
      </c>
      <c r="E708">
        <v>2023</v>
      </c>
      <c r="F708">
        <v>31</v>
      </c>
      <c r="H708" t="s">
        <v>346</v>
      </c>
      <c r="I708">
        <v>119</v>
      </c>
      <c r="J708">
        <v>0</v>
      </c>
      <c r="K708" t="s">
        <v>137</v>
      </c>
      <c r="R708" t="str">
        <f>"8768590560"</f>
        <v>8768590560</v>
      </c>
      <c r="S708" t="str">
        <f t="shared" ref="S708:S721" si="70">"30"</f>
        <v>30</v>
      </c>
      <c r="T708" t="s">
        <v>78</v>
      </c>
      <c r="W708" t="s">
        <v>1238</v>
      </c>
      <c r="Y708">
        <v>3020</v>
      </c>
      <c r="Z708" t="s">
        <v>340</v>
      </c>
      <c r="AB708" t="str">
        <f>"01014660417"</f>
        <v>01014660417</v>
      </c>
      <c r="AC708" t="s">
        <v>116</v>
      </c>
      <c r="AD708" t="s">
        <v>341</v>
      </c>
      <c r="AF708">
        <v>2023</v>
      </c>
      <c r="AG708">
        <v>330</v>
      </c>
      <c r="AH708" t="str">
        <f t="shared" si="68"/>
        <v>1</v>
      </c>
      <c r="AI708" t="s">
        <v>1239</v>
      </c>
      <c r="AJ708" s="1">
        <v>44957</v>
      </c>
      <c r="AK708" t="s">
        <v>1238</v>
      </c>
      <c r="AL708" s="2">
        <v>12616.16</v>
      </c>
      <c r="AM708" t="str">
        <f>"8958573255"</f>
        <v>8958573255</v>
      </c>
      <c r="AN708">
        <v>2023</v>
      </c>
      <c r="AO708">
        <v>179</v>
      </c>
      <c r="AP708" s="2">
        <v>12616.16</v>
      </c>
      <c r="AQ708">
        <v>0</v>
      </c>
      <c r="AR708">
        <v>485.24</v>
      </c>
      <c r="AS708" t="s">
        <v>344</v>
      </c>
      <c r="AT708">
        <v>12130.92</v>
      </c>
      <c r="AU708">
        <v>485.24</v>
      </c>
      <c r="AV708">
        <v>2023</v>
      </c>
      <c r="AW708">
        <v>160</v>
      </c>
      <c r="AX708">
        <v>670</v>
      </c>
      <c r="AY708">
        <v>0</v>
      </c>
      <c r="AZ708" t="s">
        <v>1240</v>
      </c>
      <c r="BA708">
        <v>12616.16</v>
      </c>
      <c r="BB708" s="1">
        <v>44989</v>
      </c>
    </row>
    <row r="709" spans="1:54" x14ac:dyDescent="0.25">
      <c r="A709">
        <v>2023</v>
      </c>
      <c r="B709">
        <v>335</v>
      </c>
      <c r="C709" s="1">
        <v>44989</v>
      </c>
      <c r="D709">
        <v>2023</v>
      </c>
      <c r="E709">
        <v>2023</v>
      </c>
      <c r="F709">
        <v>63</v>
      </c>
      <c r="H709" t="s">
        <v>1241</v>
      </c>
      <c r="I709">
        <v>149</v>
      </c>
      <c r="J709">
        <v>0</v>
      </c>
      <c r="K709" t="s">
        <v>277</v>
      </c>
      <c r="R709" t="str">
        <f>"9291037647"</f>
        <v>9291037647</v>
      </c>
      <c r="S709" t="str">
        <f t="shared" si="70"/>
        <v>30</v>
      </c>
      <c r="T709" t="s">
        <v>78</v>
      </c>
      <c r="W709" t="s">
        <v>1242</v>
      </c>
      <c r="Y709">
        <v>4545</v>
      </c>
      <c r="Z709" t="s">
        <v>334</v>
      </c>
      <c r="AB709" t="str">
        <f>"04655220277"</f>
        <v>04655220277</v>
      </c>
      <c r="AC709" t="s">
        <v>116</v>
      </c>
      <c r="AD709" t="s">
        <v>335</v>
      </c>
      <c r="AF709">
        <v>2023</v>
      </c>
      <c r="AG709">
        <v>327</v>
      </c>
      <c r="AH709" t="str">
        <f t="shared" si="68"/>
        <v>1</v>
      </c>
      <c r="AI709" t="s">
        <v>1243</v>
      </c>
      <c r="AJ709" s="1">
        <v>44957</v>
      </c>
      <c r="AK709" t="s">
        <v>1242</v>
      </c>
      <c r="AL709" s="2">
        <v>4450.45</v>
      </c>
      <c r="AM709" t="str">
        <f>"8945669014"</f>
        <v>8945669014</v>
      </c>
      <c r="AN709">
        <v>2023</v>
      </c>
      <c r="AO709">
        <v>189</v>
      </c>
      <c r="AP709" s="2">
        <v>4450.45</v>
      </c>
      <c r="AQ709">
        <v>0</v>
      </c>
      <c r="AR709">
        <v>802.54</v>
      </c>
      <c r="AS709" t="s">
        <v>177</v>
      </c>
      <c r="AT709">
        <v>3647.91</v>
      </c>
      <c r="AU709">
        <v>802.54</v>
      </c>
      <c r="AV709">
        <v>2023</v>
      </c>
      <c r="AW709">
        <v>161</v>
      </c>
      <c r="AX709">
        <v>670</v>
      </c>
      <c r="AY709">
        <v>0</v>
      </c>
      <c r="AZ709" t="s">
        <v>1244</v>
      </c>
      <c r="BA709">
        <v>4450.45</v>
      </c>
      <c r="BB709" s="1">
        <v>44989</v>
      </c>
    </row>
    <row r="710" spans="1:54" x14ac:dyDescent="0.25">
      <c r="A710">
        <v>2023</v>
      </c>
      <c r="B710">
        <v>336</v>
      </c>
      <c r="C710" s="1">
        <v>44989</v>
      </c>
      <c r="D710">
        <v>2023</v>
      </c>
      <c r="E710">
        <v>2022</v>
      </c>
      <c r="F710">
        <v>663</v>
      </c>
      <c r="H710" t="s">
        <v>1245</v>
      </c>
      <c r="I710">
        <v>149</v>
      </c>
      <c r="J710">
        <v>0</v>
      </c>
      <c r="K710" t="s">
        <v>277</v>
      </c>
      <c r="R710" t="s">
        <v>1246</v>
      </c>
      <c r="S710" t="str">
        <f t="shared" si="70"/>
        <v>30</v>
      </c>
      <c r="T710" t="s">
        <v>78</v>
      </c>
      <c r="W710" t="s">
        <v>1247</v>
      </c>
      <c r="Y710">
        <v>3704</v>
      </c>
      <c r="Z710" t="s">
        <v>1248</v>
      </c>
      <c r="AB710" t="str">
        <f>"03553050927"</f>
        <v>03553050927</v>
      </c>
      <c r="AC710" t="s">
        <v>116</v>
      </c>
      <c r="AD710" t="s">
        <v>1249</v>
      </c>
      <c r="AF710">
        <v>2023</v>
      </c>
      <c r="AG710">
        <v>332</v>
      </c>
      <c r="AH710" t="str">
        <f t="shared" si="68"/>
        <v>1</v>
      </c>
      <c r="AI710" t="s">
        <v>1250</v>
      </c>
      <c r="AJ710" s="1">
        <v>44963</v>
      </c>
      <c r="AK710" t="s">
        <v>1247</v>
      </c>
      <c r="AL710">
        <v>845.46</v>
      </c>
      <c r="AM710" t="str">
        <f>"8973665870"</f>
        <v>8973665870</v>
      </c>
      <c r="AN710">
        <v>2023</v>
      </c>
      <c r="AO710">
        <v>211</v>
      </c>
      <c r="AP710">
        <v>845.46</v>
      </c>
      <c r="AQ710">
        <v>0</v>
      </c>
      <c r="AR710">
        <v>152.46</v>
      </c>
      <c r="AS710" t="s">
        <v>177</v>
      </c>
      <c r="AT710">
        <v>693</v>
      </c>
      <c r="AU710">
        <v>152.46</v>
      </c>
      <c r="AV710">
        <v>2023</v>
      </c>
      <c r="AW710">
        <v>162</v>
      </c>
      <c r="AX710">
        <v>670</v>
      </c>
      <c r="AY710">
        <v>0</v>
      </c>
      <c r="AZ710" t="s">
        <v>1251</v>
      </c>
      <c r="BA710">
        <v>845.46</v>
      </c>
      <c r="BB710" s="1">
        <v>44989</v>
      </c>
    </row>
    <row r="711" spans="1:54" x14ac:dyDescent="0.25">
      <c r="A711">
        <v>2023</v>
      </c>
      <c r="B711">
        <v>337</v>
      </c>
      <c r="C711" s="1">
        <v>44989</v>
      </c>
      <c r="D711">
        <v>2023</v>
      </c>
      <c r="E711">
        <v>2021</v>
      </c>
      <c r="F711">
        <v>724</v>
      </c>
      <c r="H711" t="s">
        <v>1252</v>
      </c>
      <c r="I711">
        <v>149</v>
      </c>
      <c r="J711">
        <v>0</v>
      </c>
      <c r="K711" t="s">
        <v>277</v>
      </c>
      <c r="R711" t="s">
        <v>1253</v>
      </c>
      <c r="S711" t="str">
        <f t="shared" si="70"/>
        <v>30</v>
      </c>
      <c r="T711" t="s">
        <v>78</v>
      </c>
      <c r="W711" t="s">
        <v>1254</v>
      </c>
      <c r="Y711">
        <v>3039</v>
      </c>
      <c r="Z711" t="s">
        <v>1255</v>
      </c>
      <c r="AB711" t="str">
        <f>"02298700010"</f>
        <v>02298700010</v>
      </c>
      <c r="AC711" t="s">
        <v>116</v>
      </c>
      <c r="AD711" t="s">
        <v>1256</v>
      </c>
      <c r="AF711">
        <v>2023</v>
      </c>
      <c r="AG711">
        <v>14</v>
      </c>
      <c r="AH711" t="str">
        <f t="shared" si="68"/>
        <v>1</v>
      </c>
      <c r="AI711" t="s">
        <v>1257</v>
      </c>
      <c r="AJ711" s="1">
        <v>44926</v>
      </c>
      <c r="AK711" t="s">
        <v>1254</v>
      </c>
      <c r="AL711">
        <v>371.73</v>
      </c>
      <c r="AM711" t="str">
        <f>"8756694704"</f>
        <v>8756694704</v>
      </c>
      <c r="AN711">
        <v>2023</v>
      </c>
      <c r="AO711">
        <v>153</v>
      </c>
      <c r="AP711">
        <v>371.73</v>
      </c>
      <c r="AQ711">
        <v>0</v>
      </c>
      <c r="AR711">
        <v>67.03</v>
      </c>
      <c r="AS711" t="s">
        <v>177</v>
      </c>
      <c r="AT711">
        <v>304.7</v>
      </c>
      <c r="AU711">
        <v>67.03</v>
      </c>
      <c r="AV711">
        <v>2023</v>
      </c>
      <c r="AW711">
        <v>163</v>
      </c>
      <c r="AX711">
        <v>670</v>
      </c>
      <c r="AY711">
        <v>0</v>
      </c>
      <c r="AZ711" t="s">
        <v>1258</v>
      </c>
      <c r="BA711">
        <v>371.73</v>
      </c>
      <c r="BB711" s="1">
        <v>44989</v>
      </c>
    </row>
    <row r="712" spans="1:54" x14ac:dyDescent="0.25">
      <c r="A712">
        <v>2023</v>
      </c>
      <c r="B712">
        <v>338</v>
      </c>
      <c r="C712" s="1">
        <v>44989</v>
      </c>
      <c r="D712">
        <v>2023</v>
      </c>
      <c r="E712">
        <v>2021</v>
      </c>
      <c r="F712">
        <v>724</v>
      </c>
      <c r="H712" t="s">
        <v>1252</v>
      </c>
      <c r="I712">
        <v>149</v>
      </c>
      <c r="J712">
        <v>0</v>
      </c>
      <c r="K712" t="s">
        <v>277</v>
      </c>
      <c r="R712" t="s">
        <v>1253</v>
      </c>
      <c r="S712" t="str">
        <f t="shared" si="70"/>
        <v>30</v>
      </c>
      <c r="T712" t="s">
        <v>78</v>
      </c>
      <c r="W712" t="s">
        <v>1259</v>
      </c>
      <c r="Y712">
        <v>3039</v>
      </c>
      <c r="Z712" t="s">
        <v>1255</v>
      </c>
      <c r="AB712" t="str">
        <f>"02298700010"</f>
        <v>02298700010</v>
      </c>
      <c r="AC712" t="s">
        <v>116</v>
      </c>
      <c r="AD712" t="s">
        <v>1256</v>
      </c>
      <c r="AF712">
        <v>2023</v>
      </c>
      <c r="AG712">
        <v>356</v>
      </c>
      <c r="AH712" t="str">
        <f t="shared" si="68"/>
        <v>1</v>
      </c>
      <c r="AI712" t="s">
        <v>1260</v>
      </c>
      <c r="AJ712" s="1">
        <v>44969</v>
      </c>
      <c r="AK712" t="s">
        <v>1261</v>
      </c>
      <c r="AL712">
        <v>173.47</v>
      </c>
      <c r="AM712" t="str">
        <f>"9025499459"</f>
        <v>9025499459</v>
      </c>
      <c r="AN712">
        <v>2023</v>
      </c>
      <c r="AO712">
        <v>223</v>
      </c>
      <c r="AP712">
        <v>125.79</v>
      </c>
      <c r="AQ712">
        <v>0</v>
      </c>
      <c r="AR712">
        <v>31.28</v>
      </c>
      <c r="AS712" t="s">
        <v>177</v>
      </c>
      <c r="AT712">
        <v>142.19</v>
      </c>
      <c r="AU712">
        <v>31.28</v>
      </c>
      <c r="AV712">
        <v>2023</v>
      </c>
      <c r="AW712">
        <v>164</v>
      </c>
      <c r="AX712">
        <v>670</v>
      </c>
      <c r="AY712">
        <v>0</v>
      </c>
      <c r="AZ712" t="s">
        <v>1262</v>
      </c>
      <c r="BA712">
        <v>125.79</v>
      </c>
      <c r="BB712" s="1">
        <v>44989</v>
      </c>
    </row>
    <row r="713" spans="1:54" x14ac:dyDescent="0.25">
      <c r="A713">
        <v>2023</v>
      </c>
      <c r="B713">
        <v>339</v>
      </c>
      <c r="C713" s="1">
        <v>44989</v>
      </c>
      <c r="D713">
        <v>2023</v>
      </c>
      <c r="E713">
        <v>2023</v>
      </c>
      <c r="F713">
        <v>56</v>
      </c>
      <c r="H713" t="s">
        <v>1263</v>
      </c>
      <c r="I713">
        <v>149</v>
      </c>
      <c r="J713">
        <v>0</v>
      </c>
      <c r="K713" t="s">
        <v>277</v>
      </c>
      <c r="R713" t="s">
        <v>1264</v>
      </c>
      <c r="S713" t="str">
        <f t="shared" si="70"/>
        <v>30</v>
      </c>
      <c r="T713" t="s">
        <v>78</v>
      </c>
      <c r="W713" t="s">
        <v>1265</v>
      </c>
      <c r="Y713">
        <v>3039</v>
      </c>
      <c r="Z713" t="s">
        <v>1255</v>
      </c>
      <c r="AB713" t="str">
        <f>"02298700010"</f>
        <v>02298700010</v>
      </c>
      <c r="AC713" t="s">
        <v>116</v>
      </c>
      <c r="AD713" t="s">
        <v>1256</v>
      </c>
      <c r="AF713">
        <v>2023</v>
      </c>
      <c r="AG713">
        <v>356</v>
      </c>
      <c r="AH713" t="str">
        <f t="shared" si="68"/>
        <v>1</v>
      </c>
      <c r="AI713" t="s">
        <v>1260</v>
      </c>
      <c r="AJ713" s="1">
        <v>44969</v>
      </c>
      <c r="AK713" t="s">
        <v>1261</v>
      </c>
      <c r="AL713">
        <v>173.47</v>
      </c>
      <c r="AM713" t="str">
        <f>"9025499459"</f>
        <v>9025499459</v>
      </c>
      <c r="AN713">
        <v>2023</v>
      </c>
      <c r="AO713">
        <v>224</v>
      </c>
      <c r="AP713">
        <v>47.68</v>
      </c>
      <c r="AQ713">
        <v>0</v>
      </c>
      <c r="AR713">
        <v>0</v>
      </c>
      <c r="BA713">
        <v>47.68</v>
      </c>
      <c r="BB713" s="1">
        <v>44989</v>
      </c>
    </row>
    <row r="714" spans="1:54" x14ac:dyDescent="0.25">
      <c r="A714">
        <v>2023</v>
      </c>
      <c r="B714">
        <v>340</v>
      </c>
      <c r="C714" s="1">
        <v>44989</v>
      </c>
      <c r="D714">
        <v>2023</v>
      </c>
      <c r="E714">
        <v>2021</v>
      </c>
      <c r="F714">
        <v>719</v>
      </c>
      <c r="H714" t="s">
        <v>1266</v>
      </c>
      <c r="I714">
        <v>149</v>
      </c>
      <c r="J714">
        <v>0</v>
      </c>
      <c r="K714" t="s">
        <v>277</v>
      </c>
      <c r="R714" t="s">
        <v>1267</v>
      </c>
      <c r="S714" t="str">
        <f t="shared" si="70"/>
        <v>30</v>
      </c>
      <c r="T714" t="s">
        <v>78</v>
      </c>
      <c r="W714" t="s">
        <v>1268</v>
      </c>
      <c r="Y714">
        <v>2438</v>
      </c>
      <c r="Z714" t="s">
        <v>1269</v>
      </c>
      <c r="AB714" t="str">
        <f>"01788080156"</f>
        <v>01788080156</v>
      </c>
      <c r="AC714" t="s">
        <v>116</v>
      </c>
      <c r="AD714" t="s">
        <v>1270</v>
      </c>
      <c r="AF714">
        <v>2023</v>
      </c>
      <c r="AG714">
        <v>336</v>
      </c>
      <c r="AH714" t="str">
        <f t="shared" si="68"/>
        <v>1</v>
      </c>
      <c r="AI714" t="str">
        <f>"1010811917"</f>
        <v>1010811917</v>
      </c>
      <c r="AJ714" s="1">
        <v>44951</v>
      </c>
      <c r="AK714" t="s">
        <v>1268</v>
      </c>
      <c r="AL714">
        <v>378.2</v>
      </c>
      <c r="AM714" t="str">
        <f>"8906962656"</f>
        <v>8906962656</v>
      </c>
      <c r="AN714">
        <v>2023</v>
      </c>
      <c r="AO714">
        <v>230</v>
      </c>
      <c r="AP714">
        <v>378.2</v>
      </c>
      <c r="AQ714">
        <v>0</v>
      </c>
      <c r="AR714">
        <v>68.2</v>
      </c>
      <c r="AS714" t="s">
        <v>177</v>
      </c>
      <c r="AT714">
        <v>310</v>
      </c>
      <c r="AU714">
        <v>68.2</v>
      </c>
      <c r="AV714">
        <v>2023</v>
      </c>
      <c r="AW714">
        <v>165</v>
      </c>
      <c r="AX714">
        <v>670</v>
      </c>
      <c r="AY714">
        <v>0</v>
      </c>
      <c r="AZ714" t="s">
        <v>1271</v>
      </c>
      <c r="BA714">
        <v>378.2</v>
      </c>
      <c r="BB714" s="1">
        <v>44989</v>
      </c>
    </row>
    <row r="715" spans="1:54" x14ac:dyDescent="0.25">
      <c r="A715">
        <v>2023</v>
      </c>
      <c r="B715">
        <v>341</v>
      </c>
      <c r="C715" s="1">
        <v>44989</v>
      </c>
      <c r="D715">
        <v>2023</v>
      </c>
      <c r="E715">
        <v>2022</v>
      </c>
      <c r="F715">
        <v>711</v>
      </c>
      <c r="H715" t="s">
        <v>1272</v>
      </c>
      <c r="I715">
        <v>149</v>
      </c>
      <c r="J715">
        <v>0</v>
      </c>
      <c r="K715" t="s">
        <v>277</v>
      </c>
      <c r="R715" t="s">
        <v>1273</v>
      </c>
      <c r="S715" t="str">
        <f t="shared" si="70"/>
        <v>30</v>
      </c>
      <c r="T715" t="s">
        <v>78</v>
      </c>
      <c r="W715" t="s">
        <v>1274</v>
      </c>
      <c r="Y715">
        <v>2438</v>
      </c>
      <c r="Z715" t="s">
        <v>1269</v>
      </c>
      <c r="AB715" t="str">
        <f>"01788080156"</f>
        <v>01788080156</v>
      </c>
      <c r="AC715" t="s">
        <v>116</v>
      </c>
      <c r="AD715" t="s">
        <v>1270</v>
      </c>
      <c r="AF715">
        <v>2023</v>
      </c>
      <c r="AG715">
        <v>355</v>
      </c>
      <c r="AH715" t="str">
        <f t="shared" si="68"/>
        <v>1</v>
      </c>
      <c r="AI715" t="str">
        <f>"1010811272"</f>
        <v>1010811272</v>
      </c>
      <c r="AJ715" s="1">
        <v>44946</v>
      </c>
      <c r="AK715" t="s">
        <v>1275</v>
      </c>
      <c r="AL715" s="2">
        <v>1379.98</v>
      </c>
      <c r="AM715" t="str">
        <f>"8878846928"</f>
        <v>8878846928</v>
      </c>
      <c r="AN715">
        <v>2023</v>
      </c>
      <c r="AO715">
        <v>232</v>
      </c>
      <c r="AP715" s="2">
        <v>1081.9100000000001</v>
      </c>
      <c r="AQ715">
        <v>0</v>
      </c>
      <c r="AR715">
        <v>248.85</v>
      </c>
      <c r="AS715" t="s">
        <v>177</v>
      </c>
      <c r="AT715">
        <v>1131.1300000000001</v>
      </c>
      <c r="AU715">
        <v>248.85</v>
      </c>
      <c r="AV715">
        <v>2023</v>
      </c>
      <c r="AW715">
        <v>166</v>
      </c>
      <c r="AX715">
        <v>670</v>
      </c>
      <c r="AY715">
        <v>0</v>
      </c>
      <c r="AZ715" t="s">
        <v>1276</v>
      </c>
      <c r="BA715">
        <v>1081.9100000000001</v>
      </c>
      <c r="BB715" s="1">
        <v>44989</v>
      </c>
    </row>
    <row r="716" spans="1:54" x14ac:dyDescent="0.25">
      <c r="A716">
        <v>2023</v>
      </c>
      <c r="B716">
        <v>342</v>
      </c>
      <c r="C716" s="1">
        <v>44989</v>
      </c>
      <c r="D716">
        <v>2023</v>
      </c>
      <c r="E716">
        <v>2021</v>
      </c>
      <c r="F716">
        <v>719</v>
      </c>
      <c r="H716" t="s">
        <v>1266</v>
      </c>
      <c r="I716">
        <v>149</v>
      </c>
      <c r="J716">
        <v>0</v>
      </c>
      <c r="K716" t="s">
        <v>277</v>
      </c>
      <c r="R716" t="s">
        <v>1267</v>
      </c>
      <c r="S716" t="str">
        <f t="shared" si="70"/>
        <v>30</v>
      </c>
      <c r="T716" t="s">
        <v>78</v>
      </c>
      <c r="W716" t="s">
        <v>1277</v>
      </c>
      <c r="Y716">
        <v>2438</v>
      </c>
      <c r="Z716" t="s">
        <v>1269</v>
      </c>
      <c r="AB716" t="str">
        <f>"01788080156"</f>
        <v>01788080156</v>
      </c>
      <c r="AC716" t="s">
        <v>116</v>
      </c>
      <c r="AD716" t="s">
        <v>1270</v>
      </c>
      <c r="AF716">
        <v>2023</v>
      </c>
      <c r="AG716">
        <v>355</v>
      </c>
      <c r="AH716" t="str">
        <f t="shared" si="68"/>
        <v>1</v>
      </c>
      <c r="AI716" t="str">
        <f>"1010811272"</f>
        <v>1010811272</v>
      </c>
      <c r="AJ716" s="1">
        <v>44946</v>
      </c>
      <c r="AK716" t="s">
        <v>1275</v>
      </c>
      <c r="AL716" s="2">
        <v>1379.98</v>
      </c>
      <c r="AM716" t="str">
        <f>"8878846928"</f>
        <v>8878846928</v>
      </c>
      <c r="AN716">
        <v>2023</v>
      </c>
      <c r="AO716">
        <v>231</v>
      </c>
      <c r="AP716">
        <v>298.07</v>
      </c>
      <c r="AQ716">
        <v>0</v>
      </c>
      <c r="AR716">
        <v>0</v>
      </c>
      <c r="BA716">
        <v>298.07</v>
      </c>
      <c r="BB716" s="1">
        <v>44989</v>
      </c>
    </row>
    <row r="717" spans="1:54" x14ac:dyDescent="0.25">
      <c r="A717">
        <v>2023</v>
      </c>
      <c r="B717">
        <v>343</v>
      </c>
      <c r="C717" s="1">
        <v>44989</v>
      </c>
      <c r="D717">
        <v>2023</v>
      </c>
      <c r="E717">
        <v>2022</v>
      </c>
      <c r="F717">
        <v>211</v>
      </c>
      <c r="H717" t="s">
        <v>1278</v>
      </c>
      <c r="I717">
        <v>149</v>
      </c>
      <c r="J717">
        <v>0</v>
      </c>
      <c r="K717" t="s">
        <v>277</v>
      </c>
      <c r="R717" t="s">
        <v>1279</v>
      </c>
      <c r="S717" t="str">
        <f t="shared" si="70"/>
        <v>30</v>
      </c>
      <c r="T717" t="s">
        <v>78</v>
      </c>
      <c r="W717" t="s">
        <v>1280</v>
      </c>
      <c r="Y717">
        <v>2438</v>
      </c>
      <c r="Z717" t="s">
        <v>1269</v>
      </c>
      <c r="AB717" t="str">
        <f>"01788080156"</f>
        <v>01788080156</v>
      </c>
      <c r="AC717" t="s">
        <v>116</v>
      </c>
      <c r="AD717" t="s">
        <v>1281</v>
      </c>
      <c r="AF717">
        <v>2023</v>
      </c>
      <c r="AG717">
        <v>400</v>
      </c>
      <c r="AH717" t="str">
        <f t="shared" si="68"/>
        <v>1</v>
      </c>
      <c r="AI717" t="str">
        <f>"1010819422"</f>
        <v>1010819422</v>
      </c>
      <c r="AJ717" s="1">
        <v>44978</v>
      </c>
      <c r="AK717" t="s">
        <v>1280</v>
      </c>
      <c r="AL717">
        <v>601.26</v>
      </c>
      <c r="AM717" t="str">
        <f>"9086821408"</f>
        <v>9086821408</v>
      </c>
      <c r="AN717">
        <v>2023</v>
      </c>
      <c r="AO717">
        <v>248</v>
      </c>
      <c r="AP717">
        <v>601.26</v>
      </c>
      <c r="AQ717">
        <v>0</v>
      </c>
      <c r="AR717">
        <v>108.42</v>
      </c>
      <c r="AS717" t="s">
        <v>177</v>
      </c>
      <c r="AT717">
        <v>492.84</v>
      </c>
      <c r="AU717">
        <v>108.42</v>
      </c>
      <c r="AV717">
        <v>2023</v>
      </c>
      <c r="AW717">
        <v>167</v>
      </c>
      <c r="AX717">
        <v>670</v>
      </c>
      <c r="AY717">
        <v>0</v>
      </c>
      <c r="AZ717" t="s">
        <v>1282</v>
      </c>
      <c r="BA717">
        <v>601.26</v>
      </c>
      <c r="BB717" s="1">
        <v>44991</v>
      </c>
    </row>
    <row r="718" spans="1:54" x14ac:dyDescent="0.25">
      <c r="A718">
        <v>2023</v>
      </c>
      <c r="B718">
        <v>344</v>
      </c>
      <c r="C718" s="1">
        <v>44989</v>
      </c>
      <c r="D718">
        <v>2023</v>
      </c>
      <c r="E718">
        <v>2021</v>
      </c>
      <c r="F718">
        <v>727</v>
      </c>
      <c r="H718" t="s">
        <v>1283</v>
      </c>
      <c r="I718">
        <v>149</v>
      </c>
      <c r="J718">
        <v>0</v>
      </c>
      <c r="K718" t="s">
        <v>277</v>
      </c>
      <c r="R718" t="s">
        <v>1284</v>
      </c>
      <c r="S718" t="str">
        <f t="shared" si="70"/>
        <v>30</v>
      </c>
      <c r="T718" t="s">
        <v>78</v>
      </c>
      <c r="W718" t="s">
        <v>1285</v>
      </c>
      <c r="Y718">
        <v>2438</v>
      </c>
      <c r="Z718" t="s">
        <v>1269</v>
      </c>
      <c r="AB718" t="str">
        <f>"01788080156"</f>
        <v>01788080156</v>
      </c>
      <c r="AC718" t="s">
        <v>116</v>
      </c>
      <c r="AD718" t="s">
        <v>1286</v>
      </c>
      <c r="AF718">
        <v>2023</v>
      </c>
      <c r="AG718">
        <v>399</v>
      </c>
      <c r="AH718" t="str">
        <f t="shared" si="68"/>
        <v>1</v>
      </c>
      <c r="AI718" t="str">
        <f>"1010817827"</f>
        <v>1010817827</v>
      </c>
      <c r="AJ718" s="1">
        <v>44977</v>
      </c>
      <c r="AK718" t="s">
        <v>1285</v>
      </c>
      <c r="AL718">
        <v>374.86</v>
      </c>
      <c r="AM718" t="str">
        <f>"9079920204"</f>
        <v>9079920204</v>
      </c>
      <c r="AN718">
        <v>2023</v>
      </c>
      <c r="AO718">
        <v>249</v>
      </c>
      <c r="AP718">
        <v>374.86</v>
      </c>
      <c r="AQ718">
        <v>0</v>
      </c>
      <c r="AR718">
        <v>67.599999999999994</v>
      </c>
      <c r="AS718" t="s">
        <v>177</v>
      </c>
      <c r="AT718">
        <v>307.26</v>
      </c>
      <c r="AU718">
        <v>67.599999999999994</v>
      </c>
      <c r="AV718">
        <v>2023</v>
      </c>
      <c r="AW718">
        <v>168</v>
      </c>
      <c r="AX718">
        <v>670</v>
      </c>
      <c r="AY718">
        <v>0</v>
      </c>
      <c r="AZ718" t="s">
        <v>1287</v>
      </c>
      <c r="BA718">
        <v>374.86</v>
      </c>
      <c r="BB718" s="1">
        <v>44989</v>
      </c>
    </row>
    <row r="719" spans="1:54" x14ac:dyDescent="0.25">
      <c r="A719">
        <v>2023</v>
      </c>
      <c r="B719">
        <v>345</v>
      </c>
      <c r="C719" s="1">
        <v>44989</v>
      </c>
      <c r="D719">
        <v>2023</v>
      </c>
      <c r="E719">
        <v>2022</v>
      </c>
      <c r="F719">
        <v>345</v>
      </c>
      <c r="H719" t="s">
        <v>1288</v>
      </c>
      <c r="I719">
        <v>149</v>
      </c>
      <c r="J719">
        <v>0</v>
      </c>
      <c r="K719" t="s">
        <v>277</v>
      </c>
      <c r="R719" t="s">
        <v>1289</v>
      </c>
      <c r="S719" t="str">
        <f t="shared" si="70"/>
        <v>30</v>
      </c>
      <c r="T719" t="s">
        <v>78</v>
      </c>
      <c r="W719" t="s">
        <v>1290</v>
      </c>
      <c r="Y719">
        <v>3368</v>
      </c>
      <c r="Z719" t="s">
        <v>1291</v>
      </c>
      <c r="AB719" t="str">
        <f>"09275090158"</f>
        <v>09275090158</v>
      </c>
      <c r="AC719" t="s">
        <v>116</v>
      </c>
      <c r="AD719" t="s">
        <v>1292</v>
      </c>
      <c r="AF719">
        <v>2023</v>
      </c>
      <c r="AG719">
        <v>337</v>
      </c>
      <c r="AH719" t="str">
        <f t="shared" si="68"/>
        <v>1</v>
      </c>
      <c r="AI719" t="str">
        <f>"7723000702"</f>
        <v>7723000702</v>
      </c>
      <c r="AJ719" s="1">
        <v>44953</v>
      </c>
      <c r="AK719" t="s">
        <v>1290</v>
      </c>
      <c r="AL719">
        <v>160.21</v>
      </c>
      <c r="AM719" t="str">
        <f>"8924739970"</f>
        <v>8924739970</v>
      </c>
      <c r="AN719">
        <v>2023</v>
      </c>
      <c r="AO719">
        <v>226</v>
      </c>
      <c r="AP719">
        <v>160.21</v>
      </c>
      <c r="AQ719">
        <v>0</v>
      </c>
      <c r="AR719">
        <v>28.89</v>
      </c>
      <c r="AS719" t="s">
        <v>177</v>
      </c>
      <c r="AT719">
        <v>131.32</v>
      </c>
      <c r="AU719">
        <v>28.89</v>
      </c>
      <c r="AV719">
        <v>2023</v>
      </c>
      <c r="AW719">
        <v>169</v>
      </c>
      <c r="AX719">
        <v>670</v>
      </c>
      <c r="AY719">
        <v>0</v>
      </c>
      <c r="AZ719" t="s">
        <v>1293</v>
      </c>
      <c r="BA719">
        <v>160.21</v>
      </c>
      <c r="BB719" s="1">
        <v>44989</v>
      </c>
    </row>
    <row r="720" spans="1:54" x14ac:dyDescent="0.25">
      <c r="A720">
        <v>2023</v>
      </c>
      <c r="B720">
        <v>346</v>
      </c>
      <c r="C720" s="1">
        <v>44989</v>
      </c>
      <c r="D720">
        <v>2023</v>
      </c>
      <c r="E720">
        <v>2023</v>
      </c>
      <c r="F720">
        <v>24</v>
      </c>
      <c r="H720" t="s">
        <v>1294</v>
      </c>
      <c r="I720">
        <v>149</v>
      </c>
      <c r="J720">
        <v>0</v>
      </c>
      <c r="K720" t="s">
        <v>277</v>
      </c>
      <c r="R720" t="s">
        <v>1295</v>
      </c>
      <c r="S720" t="str">
        <f t="shared" si="70"/>
        <v>30</v>
      </c>
      <c r="T720" t="s">
        <v>78</v>
      </c>
      <c r="W720" t="s">
        <v>1296</v>
      </c>
      <c r="Y720">
        <v>1648</v>
      </c>
      <c r="Z720" t="s">
        <v>1297</v>
      </c>
      <c r="AB720" t="str">
        <f>"00818630188"</f>
        <v>00818630188</v>
      </c>
      <c r="AC720" t="s">
        <v>116</v>
      </c>
      <c r="AD720" t="s">
        <v>1298</v>
      </c>
      <c r="AF720">
        <v>2023</v>
      </c>
      <c r="AG720">
        <v>396</v>
      </c>
      <c r="AH720" t="str">
        <f t="shared" si="68"/>
        <v>1</v>
      </c>
      <c r="AI720" t="str">
        <f>"1200000996"</f>
        <v>1200000996</v>
      </c>
      <c r="AJ720" s="1">
        <v>44974</v>
      </c>
      <c r="AK720" t="s">
        <v>1296</v>
      </c>
      <c r="AL720">
        <v>274.5</v>
      </c>
      <c r="AM720" t="str">
        <f>"9068638398"</f>
        <v>9068638398</v>
      </c>
      <c r="AN720">
        <v>2023</v>
      </c>
      <c r="AO720">
        <v>222</v>
      </c>
      <c r="AP720">
        <v>274.5</v>
      </c>
      <c r="AQ720">
        <v>0</v>
      </c>
      <c r="AR720">
        <v>49.5</v>
      </c>
      <c r="AS720" t="s">
        <v>177</v>
      </c>
      <c r="AT720">
        <v>225</v>
      </c>
      <c r="AU720">
        <v>49.5</v>
      </c>
      <c r="AV720">
        <v>2023</v>
      </c>
      <c r="AW720">
        <v>170</v>
      </c>
      <c r="AX720">
        <v>670</v>
      </c>
      <c r="AY720">
        <v>0</v>
      </c>
      <c r="AZ720" t="s">
        <v>1299</v>
      </c>
      <c r="BA720">
        <v>274.5</v>
      </c>
      <c r="BB720" s="1">
        <v>44989</v>
      </c>
    </row>
    <row r="721" spans="1:54" x14ac:dyDescent="0.25">
      <c r="A721">
        <v>2023</v>
      </c>
      <c r="B721">
        <v>347</v>
      </c>
      <c r="C721" s="1">
        <v>44989</v>
      </c>
      <c r="D721">
        <v>2023</v>
      </c>
      <c r="E721">
        <v>2022</v>
      </c>
      <c r="F721">
        <v>489</v>
      </c>
      <c r="H721" t="s">
        <v>1300</v>
      </c>
      <c r="I721">
        <v>149</v>
      </c>
      <c r="J721">
        <v>0</v>
      </c>
      <c r="K721" t="s">
        <v>277</v>
      </c>
      <c r="R721" t="s">
        <v>1301</v>
      </c>
      <c r="S721" t="str">
        <f t="shared" si="70"/>
        <v>30</v>
      </c>
      <c r="T721" t="s">
        <v>78</v>
      </c>
      <c r="W721" t="s">
        <v>1302</v>
      </c>
      <c r="Y721">
        <v>3300</v>
      </c>
      <c r="Z721" t="s">
        <v>1303</v>
      </c>
      <c r="AB721" t="str">
        <f>"12878470157"</f>
        <v>12878470157</v>
      </c>
      <c r="AC721" t="s">
        <v>116</v>
      </c>
      <c r="AD721" t="s">
        <v>1304</v>
      </c>
      <c r="AF721">
        <v>2023</v>
      </c>
      <c r="AG721">
        <v>348</v>
      </c>
      <c r="AH721" t="str">
        <f t="shared" ref="AH721:AH731" si="71">"1"</f>
        <v>1</v>
      </c>
      <c r="AI721" t="s">
        <v>1305</v>
      </c>
      <c r="AJ721" s="1">
        <v>44957</v>
      </c>
      <c r="AK721" t="s">
        <v>1302</v>
      </c>
      <c r="AL721" s="2">
        <v>4880</v>
      </c>
      <c r="AM721" t="str">
        <f>"9003981748"</f>
        <v>9003981748</v>
      </c>
      <c r="AN721">
        <v>2023</v>
      </c>
      <c r="AO721">
        <v>233</v>
      </c>
      <c r="AP721" s="2">
        <v>4880</v>
      </c>
      <c r="AQ721">
        <v>0</v>
      </c>
      <c r="AR721">
        <v>880</v>
      </c>
      <c r="AS721" t="s">
        <v>177</v>
      </c>
      <c r="AT721">
        <v>4000</v>
      </c>
      <c r="AU721">
        <v>880</v>
      </c>
      <c r="AV721">
        <v>2023</v>
      </c>
      <c r="AW721">
        <v>171</v>
      </c>
      <c r="AX721">
        <v>670</v>
      </c>
      <c r="AY721">
        <v>0</v>
      </c>
      <c r="AZ721" t="s">
        <v>1306</v>
      </c>
      <c r="BA721">
        <v>4880</v>
      </c>
      <c r="BB721" s="1">
        <v>44989</v>
      </c>
    </row>
    <row r="722" spans="1:54" x14ac:dyDescent="0.25">
      <c r="A722">
        <v>2023</v>
      </c>
      <c r="B722">
        <v>348</v>
      </c>
      <c r="C722" s="1">
        <v>44991</v>
      </c>
      <c r="D722">
        <v>2023</v>
      </c>
      <c r="E722">
        <v>2022</v>
      </c>
      <c r="F722">
        <v>638</v>
      </c>
      <c r="H722" t="s">
        <v>824</v>
      </c>
      <c r="I722">
        <v>120</v>
      </c>
      <c r="J722">
        <v>0</v>
      </c>
      <c r="K722" t="s">
        <v>120</v>
      </c>
      <c r="R722" t="s">
        <v>825</v>
      </c>
      <c r="W722" t="s">
        <v>1307</v>
      </c>
      <c r="Y722">
        <v>24</v>
      </c>
      <c r="Z722" t="s">
        <v>827</v>
      </c>
      <c r="AB722" t="str">
        <f>"03049840279"</f>
        <v>03049840279</v>
      </c>
      <c r="AC722" t="s">
        <v>116</v>
      </c>
      <c r="AD722" t="s">
        <v>828</v>
      </c>
      <c r="AF722">
        <v>2023</v>
      </c>
      <c r="AG722">
        <v>299</v>
      </c>
      <c r="AH722" t="str">
        <f t="shared" si="71"/>
        <v>1</v>
      </c>
      <c r="AI722" t="s">
        <v>1308</v>
      </c>
      <c r="AJ722" s="1">
        <v>44957</v>
      </c>
      <c r="AK722" t="s">
        <v>1309</v>
      </c>
      <c r="AL722">
        <v>520.38</v>
      </c>
      <c r="AM722" t="str">
        <f>"8947958559"</f>
        <v>8947958559</v>
      </c>
      <c r="AN722">
        <v>2023</v>
      </c>
      <c r="AO722">
        <v>250</v>
      </c>
      <c r="AP722">
        <v>328.22</v>
      </c>
      <c r="AQ722">
        <v>0</v>
      </c>
      <c r="AR722">
        <v>93.84</v>
      </c>
      <c r="AS722" t="s">
        <v>177</v>
      </c>
      <c r="AT722">
        <v>426.54</v>
      </c>
      <c r="AU722">
        <v>93.84</v>
      </c>
      <c r="AV722">
        <v>2023</v>
      </c>
      <c r="AW722">
        <v>172</v>
      </c>
      <c r="AX722">
        <v>670</v>
      </c>
      <c r="AY722">
        <v>0</v>
      </c>
      <c r="AZ722" t="s">
        <v>1310</v>
      </c>
      <c r="BA722">
        <v>328.22</v>
      </c>
      <c r="BB722" s="1">
        <v>44991</v>
      </c>
    </row>
    <row r="723" spans="1:54" x14ac:dyDescent="0.25">
      <c r="A723">
        <v>2023</v>
      </c>
      <c r="B723">
        <v>349</v>
      </c>
      <c r="C723" s="1">
        <v>44991</v>
      </c>
      <c r="D723">
        <v>2023</v>
      </c>
      <c r="E723">
        <v>2022</v>
      </c>
      <c r="F723">
        <v>534</v>
      </c>
      <c r="H723" t="s">
        <v>1311</v>
      </c>
      <c r="I723">
        <v>120</v>
      </c>
      <c r="J723">
        <v>0</v>
      </c>
      <c r="K723" t="s">
        <v>120</v>
      </c>
      <c r="R723" t="s">
        <v>1312</v>
      </c>
      <c r="S723" t="str">
        <f t="shared" ref="S723:S729" si="72">"31"</f>
        <v>31</v>
      </c>
      <c r="T723" t="s">
        <v>122</v>
      </c>
      <c r="W723" t="s">
        <v>1313</v>
      </c>
      <c r="Y723">
        <v>24</v>
      </c>
      <c r="Z723" t="s">
        <v>827</v>
      </c>
      <c r="AB723" t="str">
        <f>"03049840279"</f>
        <v>03049840279</v>
      </c>
      <c r="AC723" t="s">
        <v>116</v>
      </c>
      <c r="AD723" t="s">
        <v>828</v>
      </c>
      <c r="AF723">
        <v>2023</v>
      </c>
      <c r="AG723">
        <v>299</v>
      </c>
      <c r="AH723" t="str">
        <f t="shared" si="71"/>
        <v>1</v>
      </c>
      <c r="AI723" t="s">
        <v>1308</v>
      </c>
      <c r="AJ723" s="1">
        <v>44957</v>
      </c>
      <c r="AK723" t="s">
        <v>1309</v>
      </c>
      <c r="AL723">
        <v>520.38</v>
      </c>
      <c r="AM723" t="str">
        <f>"8947958559"</f>
        <v>8947958559</v>
      </c>
      <c r="AN723">
        <v>2023</v>
      </c>
      <c r="AO723">
        <v>251</v>
      </c>
      <c r="AP723">
        <v>192.16</v>
      </c>
      <c r="AQ723">
        <v>0</v>
      </c>
      <c r="AR723">
        <v>0</v>
      </c>
      <c r="BA723">
        <v>192.16</v>
      </c>
      <c r="BB723" s="1">
        <v>44991</v>
      </c>
    </row>
    <row r="724" spans="1:54" x14ac:dyDescent="0.25">
      <c r="A724">
        <v>2023</v>
      </c>
      <c r="B724">
        <v>350</v>
      </c>
      <c r="C724" s="1">
        <v>44991</v>
      </c>
      <c r="D724">
        <v>2023</v>
      </c>
      <c r="E724">
        <v>2022</v>
      </c>
      <c r="F724">
        <v>656</v>
      </c>
      <c r="H724" t="s">
        <v>1314</v>
      </c>
      <c r="I724">
        <v>120</v>
      </c>
      <c r="J724">
        <v>0</v>
      </c>
      <c r="K724" t="s">
        <v>120</v>
      </c>
      <c r="R724" t="s">
        <v>1315</v>
      </c>
      <c r="S724" t="str">
        <f t="shared" si="72"/>
        <v>31</v>
      </c>
      <c r="T724" t="s">
        <v>122</v>
      </c>
      <c r="W724" t="s">
        <v>1316</v>
      </c>
      <c r="Y724">
        <v>1446</v>
      </c>
      <c r="Z724" t="s">
        <v>1317</v>
      </c>
      <c r="AB724" t="str">
        <f>"00085820934"</f>
        <v>00085820934</v>
      </c>
      <c r="AC724" t="s">
        <v>116</v>
      </c>
      <c r="AD724" t="s">
        <v>1318</v>
      </c>
      <c r="AF724">
        <v>2022</v>
      </c>
      <c r="AG724">
        <v>3721</v>
      </c>
      <c r="AH724" t="str">
        <f t="shared" si="71"/>
        <v>1</v>
      </c>
      <c r="AI724" t="str">
        <f>"10896"</f>
        <v>10896</v>
      </c>
      <c r="AJ724" s="1">
        <v>44902</v>
      </c>
      <c r="AK724" t="s">
        <v>1316</v>
      </c>
      <c r="AL724">
        <v>281.87</v>
      </c>
      <c r="AM724" t="str">
        <f>"8595262256"</f>
        <v>8595262256</v>
      </c>
      <c r="AN724">
        <v>2023</v>
      </c>
      <c r="AO724">
        <v>54</v>
      </c>
      <c r="AP724">
        <v>281.87</v>
      </c>
      <c r="AQ724">
        <v>0</v>
      </c>
      <c r="AR724">
        <v>50.83</v>
      </c>
      <c r="AS724" t="s">
        <v>177</v>
      </c>
      <c r="AT724">
        <v>231.04</v>
      </c>
      <c r="AU724">
        <v>50.83</v>
      </c>
      <c r="AV724">
        <v>2023</v>
      </c>
      <c r="AW724">
        <v>173</v>
      </c>
      <c r="AX724">
        <v>670</v>
      </c>
      <c r="AY724">
        <v>0</v>
      </c>
      <c r="AZ724" t="s">
        <v>1319</v>
      </c>
      <c r="BA724">
        <v>281.87</v>
      </c>
      <c r="BB724" s="1">
        <v>44991</v>
      </c>
    </row>
    <row r="725" spans="1:54" x14ac:dyDescent="0.25">
      <c r="A725">
        <v>2023</v>
      </c>
      <c r="B725">
        <v>351</v>
      </c>
      <c r="C725" s="1">
        <v>44991</v>
      </c>
      <c r="D725">
        <v>2023</v>
      </c>
      <c r="E725">
        <v>2022</v>
      </c>
      <c r="F725">
        <v>108</v>
      </c>
      <c r="H725" t="s">
        <v>1320</v>
      </c>
      <c r="I725">
        <v>149</v>
      </c>
      <c r="J725">
        <v>0</v>
      </c>
      <c r="K725" t="s">
        <v>277</v>
      </c>
      <c r="R725" t="s">
        <v>1321</v>
      </c>
      <c r="S725" t="str">
        <f t="shared" si="72"/>
        <v>31</v>
      </c>
      <c r="T725" t="s">
        <v>122</v>
      </c>
      <c r="W725" t="s">
        <v>1322</v>
      </c>
      <c r="Y725">
        <v>4234</v>
      </c>
      <c r="Z725" t="s">
        <v>1323</v>
      </c>
      <c r="AB725" t="str">
        <f>"00242160273"</f>
        <v>00242160273</v>
      </c>
      <c r="AC725" t="s">
        <v>116</v>
      </c>
      <c r="AD725" t="s">
        <v>1324</v>
      </c>
      <c r="AF725">
        <v>2022</v>
      </c>
      <c r="AG725">
        <v>3989</v>
      </c>
      <c r="AH725" t="str">
        <f t="shared" si="71"/>
        <v>1</v>
      </c>
      <c r="AI725" t="s">
        <v>1325</v>
      </c>
      <c r="AJ725" s="1">
        <v>44910</v>
      </c>
      <c r="AK725" t="s">
        <v>1322</v>
      </c>
      <c r="AL725">
        <v>985.76</v>
      </c>
      <c r="AM725" t="str">
        <f>"8679743076"</f>
        <v>8679743076</v>
      </c>
      <c r="AN725">
        <v>2023</v>
      </c>
      <c r="AO725">
        <v>69</v>
      </c>
      <c r="AP725">
        <v>985.76</v>
      </c>
      <c r="AQ725">
        <v>0</v>
      </c>
      <c r="AR725">
        <v>177.76</v>
      </c>
      <c r="AS725" t="s">
        <v>177</v>
      </c>
      <c r="AT725">
        <v>808</v>
      </c>
      <c r="AU725">
        <v>177.76</v>
      </c>
      <c r="AV725">
        <v>2023</v>
      </c>
      <c r="AW725">
        <v>174</v>
      </c>
      <c r="AX725">
        <v>670</v>
      </c>
      <c r="AY725">
        <v>0</v>
      </c>
      <c r="AZ725" t="s">
        <v>1326</v>
      </c>
      <c r="BA725">
        <v>985.76</v>
      </c>
      <c r="BB725" s="1">
        <v>44991</v>
      </c>
    </row>
    <row r="726" spans="1:54" x14ac:dyDescent="0.25">
      <c r="A726">
        <v>2023</v>
      </c>
      <c r="B726">
        <v>352</v>
      </c>
      <c r="C726" s="1">
        <v>44991</v>
      </c>
      <c r="D726">
        <v>2023</v>
      </c>
      <c r="E726">
        <v>2022</v>
      </c>
      <c r="F726">
        <v>109</v>
      </c>
      <c r="H726" t="s">
        <v>1320</v>
      </c>
      <c r="I726">
        <v>120</v>
      </c>
      <c r="J726">
        <v>0</v>
      </c>
      <c r="K726" t="s">
        <v>120</v>
      </c>
      <c r="R726" t="s">
        <v>1321</v>
      </c>
      <c r="S726" t="str">
        <f t="shared" si="72"/>
        <v>31</v>
      </c>
      <c r="T726" t="s">
        <v>122</v>
      </c>
      <c r="W726" t="s">
        <v>1327</v>
      </c>
      <c r="Y726">
        <v>4234</v>
      </c>
      <c r="Z726" t="s">
        <v>1323</v>
      </c>
      <c r="AB726" t="str">
        <f>"00242160273"</f>
        <v>00242160273</v>
      </c>
      <c r="AC726" t="s">
        <v>116</v>
      </c>
      <c r="AD726" t="s">
        <v>1324</v>
      </c>
      <c r="AF726">
        <v>2022</v>
      </c>
      <c r="AG726">
        <v>4039</v>
      </c>
      <c r="AH726" t="str">
        <f t="shared" si="71"/>
        <v>1</v>
      </c>
      <c r="AI726" t="s">
        <v>1328</v>
      </c>
      <c r="AJ726" s="1">
        <v>44925</v>
      </c>
      <c r="AK726" t="s">
        <v>1322</v>
      </c>
      <c r="AL726" s="2">
        <v>5691.79</v>
      </c>
      <c r="AM726" t="str">
        <f>"8746992291"</f>
        <v>8746992291</v>
      </c>
      <c r="AN726">
        <v>2023</v>
      </c>
      <c r="AO726">
        <v>70</v>
      </c>
      <c r="AP726" s="2">
        <v>2581.0100000000002</v>
      </c>
      <c r="AQ726">
        <v>0</v>
      </c>
      <c r="AR726" s="2">
        <v>1026.3900000000001</v>
      </c>
      <c r="AS726" t="s">
        <v>177</v>
      </c>
      <c r="AT726">
        <v>4665.3999999999996</v>
      </c>
      <c r="AU726">
        <v>1026.3900000000001</v>
      </c>
      <c r="AV726">
        <v>2023</v>
      </c>
      <c r="AW726">
        <v>175</v>
      </c>
      <c r="AX726">
        <v>670</v>
      </c>
      <c r="AY726">
        <v>0</v>
      </c>
      <c r="AZ726" t="s">
        <v>1329</v>
      </c>
      <c r="BA726">
        <v>2581.0100000000002</v>
      </c>
      <c r="BB726" s="1">
        <v>44991</v>
      </c>
    </row>
    <row r="727" spans="1:54" x14ac:dyDescent="0.25">
      <c r="A727">
        <v>2023</v>
      </c>
      <c r="B727">
        <v>353</v>
      </c>
      <c r="C727" s="1">
        <v>44991</v>
      </c>
      <c r="D727">
        <v>2023</v>
      </c>
      <c r="E727">
        <v>2022</v>
      </c>
      <c r="F727">
        <v>108</v>
      </c>
      <c r="H727" t="s">
        <v>1320</v>
      </c>
      <c r="I727">
        <v>149</v>
      </c>
      <c r="J727">
        <v>0</v>
      </c>
      <c r="K727" t="s">
        <v>277</v>
      </c>
      <c r="R727" t="s">
        <v>1321</v>
      </c>
      <c r="S727" t="str">
        <f t="shared" si="72"/>
        <v>31</v>
      </c>
      <c r="T727" t="s">
        <v>122</v>
      </c>
      <c r="W727" t="s">
        <v>1327</v>
      </c>
      <c r="Y727">
        <v>4234</v>
      </c>
      <c r="Z727" t="s">
        <v>1323</v>
      </c>
      <c r="AB727" t="str">
        <f>"00242160273"</f>
        <v>00242160273</v>
      </c>
      <c r="AC727" t="s">
        <v>116</v>
      </c>
      <c r="AD727" t="s">
        <v>1324</v>
      </c>
      <c r="AF727">
        <v>2022</v>
      </c>
      <c r="AG727">
        <v>4039</v>
      </c>
      <c r="AH727" t="str">
        <f t="shared" si="71"/>
        <v>1</v>
      </c>
      <c r="AI727" t="s">
        <v>1328</v>
      </c>
      <c r="AJ727" s="1">
        <v>44925</v>
      </c>
      <c r="AK727" t="s">
        <v>1322</v>
      </c>
      <c r="AL727" s="2">
        <v>5691.79</v>
      </c>
      <c r="AM727" t="str">
        <f>"8746992291"</f>
        <v>8746992291</v>
      </c>
      <c r="AN727">
        <v>2023</v>
      </c>
      <c r="AO727">
        <v>71</v>
      </c>
      <c r="AP727" s="2">
        <v>3110.78</v>
      </c>
      <c r="AQ727">
        <v>0</v>
      </c>
      <c r="AR727">
        <v>0</v>
      </c>
      <c r="BA727">
        <v>3110.78</v>
      </c>
      <c r="BB727" s="1">
        <v>44991</v>
      </c>
    </row>
    <row r="728" spans="1:54" x14ac:dyDescent="0.25">
      <c r="A728">
        <v>2023</v>
      </c>
      <c r="B728">
        <v>354</v>
      </c>
      <c r="C728" s="1">
        <v>44991</v>
      </c>
      <c r="D728">
        <v>2023</v>
      </c>
      <c r="E728">
        <v>2022</v>
      </c>
      <c r="F728">
        <v>108</v>
      </c>
      <c r="H728" t="s">
        <v>1320</v>
      </c>
      <c r="I728">
        <v>149</v>
      </c>
      <c r="J728">
        <v>0</v>
      </c>
      <c r="K728" t="s">
        <v>277</v>
      </c>
      <c r="R728" t="s">
        <v>1321</v>
      </c>
      <c r="S728" t="str">
        <f t="shared" si="72"/>
        <v>31</v>
      </c>
      <c r="T728" t="s">
        <v>122</v>
      </c>
      <c r="W728" t="s">
        <v>1322</v>
      </c>
      <c r="Y728">
        <v>4234</v>
      </c>
      <c r="Z728" t="s">
        <v>1323</v>
      </c>
      <c r="AB728" t="str">
        <f>"00242160273"</f>
        <v>00242160273</v>
      </c>
      <c r="AC728" t="s">
        <v>116</v>
      </c>
      <c r="AD728" t="s">
        <v>1324</v>
      </c>
      <c r="AF728">
        <v>2023</v>
      </c>
      <c r="AG728">
        <v>265</v>
      </c>
      <c r="AH728" t="str">
        <f t="shared" si="71"/>
        <v>1</v>
      </c>
      <c r="AI728" t="s">
        <v>1330</v>
      </c>
      <c r="AJ728" s="1">
        <v>44941</v>
      </c>
      <c r="AK728" t="s">
        <v>1322</v>
      </c>
      <c r="AL728">
        <v>122</v>
      </c>
      <c r="AM728" t="str">
        <f>"8878864487"</f>
        <v>8878864487</v>
      </c>
      <c r="AN728">
        <v>2023</v>
      </c>
      <c r="AO728">
        <v>236</v>
      </c>
      <c r="AP728">
        <v>122</v>
      </c>
      <c r="AQ728">
        <v>0</v>
      </c>
      <c r="AR728">
        <v>127.78</v>
      </c>
      <c r="AS728" t="s">
        <v>177</v>
      </c>
      <c r="AT728">
        <v>100</v>
      </c>
      <c r="AU728">
        <v>22</v>
      </c>
      <c r="AV728">
        <v>2023</v>
      </c>
      <c r="AW728">
        <v>176</v>
      </c>
      <c r="AX728">
        <v>670</v>
      </c>
      <c r="AY728">
        <v>0</v>
      </c>
      <c r="AZ728" t="s">
        <v>1331</v>
      </c>
      <c r="BA728">
        <v>122</v>
      </c>
      <c r="BB728" s="1">
        <v>44991</v>
      </c>
    </row>
    <row r="729" spans="1:54" x14ac:dyDescent="0.25">
      <c r="A729">
        <v>2023</v>
      </c>
      <c r="B729">
        <v>354</v>
      </c>
      <c r="C729" s="1">
        <v>44991</v>
      </c>
      <c r="D729">
        <v>2023</v>
      </c>
      <c r="E729">
        <v>2022</v>
      </c>
      <c r="F729">
        <v>108</v>
      </c>
      <c r="H729" t="s">
        <v>1320</v>
      </c>
      <c r="I729">
        <v>149</v>
      </c>
      <c r="J729">
        <v>0</v>
      </c>
      <c r="K729" t="s">
        <v>277</v>
      </c>
      <c r="R729" t="s">
        <v>1321</v>
      </c>
      <c r="S729" t="str">
        <f t="shared" si="72"/>
        <v>31</v>
      </c>
      <c r="T729" t="s">
        <v>122</v>
      </c>
      <c r="W729" t="s">
        <v>1322</v>
      </c>
      <c r="Y729">
        <v>4234</v>
      </c>
      <c r="Z729" t="s">
        <v>1323</v>
      </c>
      <c r="AB729" t="str">
        <f>"00242160273"</f>
        <v>00242160273</v>
      </c>
      <c r="AC729" t="s">
        <v>116</v>
      </c>
      <c r="AD729" t="s">
        <v>1324</v>
      </c>
      <c r="AF729">
        <v>2023</v>
      </c>
      <c r="AG729">
        <v>368</v>
      </c>
      <c r="AH729" t="str">
        <f t="shared" si="71"/>
        <v>1</v>
      </c>
      <c r="AI729" t="s">
        <v>1332</v>
      </c>
      <c r="AJ729" s="1">
        <v>44957</v>
      </c>
      <c r="AK729" t="s">
        <v>1322</v>
      </c>
      <c r="AL729">
        <v>586.58000000000004</v>
      </c>
      <c r="AM729" t="str">
        <f>"9018323466"</f>
        <v>9018323466</v>
      </c>
      <c r="AN729">
        <v>2023</v>
      </c>
      <c r="AO729">
        <v>236</v>
      </c>
      <c r="AP729">
        <v>586.58000000000004</v>
      </c>
      <c r="AQ729">
        <v>0</v>
      </c>
      <c r="AR729">
        <v>127.78</v>
      </c>
      <c r="AS729" t="s">
        <v>177</v>
      </c>
      <c r="AT729">
        <v>480.8</v>
      </c>
      <c r="AU729">
        <v>105.78</v>
      </c>
      <c r="AV729">
        <v>2023</v>
      </c>
      <c r="AW729">
        <v>176</v>
      </c>
      <c r="AX729">
        <v>670</v>
      </c>
      <c r="AY729">
        <v>0</v>
      </c>
      <c r="AZ729" t="s">
        <v>1331</v>
      </c>
      <c r="BA729">
        <v>586.58000000000004</v>
      </c>
      <c r="BB729" s="1">
        <v>44991</v>
      </c>
    </row>
    <row r="730" spans="1:54" x14ac:dyDescent="0.25">
      <c r="A730">
        <v>2023</v>
      </c>
      <c r="B730">
        <v>355</v>
      </c>
      <c r="C730" s="1">
        <v>44991</v>
      </c>
      <c r="D730">
        <v>2023</v>
      </c>
      <c r="E730">
        <v>2022</v>
      </c>
      <c r="F730">
        <v>696</v>
      </c>
      <c r="H730" t="s">
        <v>1333</v>
      </c>
      <c r="I730">
        <v>140</v>
      </c>
      <c r="J730">
        <v>0</v>
      </c>
      <c r="K730" t="s">
        <v>261</v>
      </c>
      <c r="R730" t="s">
        <v>1334</v>
      </c>
      <c r="S730" t="str">
        <f>"30"</f>
        <v>30</v>
      </c>
      <c r="T730" t="s">
        <v>78</v>
      </c>
      <c r="W730" t="s">
        <v>1335</v>
      </c>
      <c r="Y730">
        <v>3478</v>
      </c>
      <c r="Z730" t="s">
        <v>264</v>
      </c>
      <c r="AB730" t="s">
        <v>265</v>
      </c>
      <c r="AC730" t="s">
        <v>116</v>
      </c>
      <c r="AD730" t="s">
        <v>266</v>
      </c>
      <c r="AF730">
        <v>2023</v>
      </c>
      <c r="AG730">
        <v>37</v>
      </c>
      <c r="AH730" t="str">
        <f t="shared" si="71"/>
        <v>1</v>
      </c>
      <c r="AI730" t="s">
        <v>267</v>
      </c>
      <c r="AJ730" s="1">
        <v>44936</v>
      </c>
      <c r="AK730" t="s">
        <v>1335</v>
      </c>
      <c r="AL730" s="2">
        <v>2210.5700000000002</v>
      </c>
      <c r="AN730">
        <v>2023</v>
      </c>
      <c r="AO730">
        <v>17</v>
      </c>
      <c r="AP730" s="2">
        <v>2210.5700000000002</v>
      </c>
      <c r="AQ730">
        <v>0</v>
      </c>
      <c r="AR730">
        <v>348.45</v>
      </c>
      <c r="AS730" t="str">
        <f>"1040"</f>
        <v>1040</v>
      </c>
      <c r="AT730">
        <v>1742.25</v>
      </c>
      <c r="AU730">
        <v>348.45</v>
      </c>
      <c r="AV730">
        <v>2023</v>
      </c>
      <c r="AW730">
        <v>177</v>
      </c>
      <c r="AX730">
        <v>620</v>
      </c>
      <c r="AY730">
        <v>0</v>
      </c>
      <c r="AZ730" t="s">
        <v>1336</v>
      </c>
      <c r="BA730">
        <v>2210.5700000000002</v>
      </c>
      <c r="BB730" s="1">
        <v>44991</v>
      </c>
    </row>
    <row r="731" spans="1:54" x14ac:dyDescent="0.25">
      <c r="A731">
        <v>2023</v>
      </c>
      <c r="B731">
        <v>356</v>
      </c>
      <c r="C731" s="1">
        <v>44991</v>
      </c>
      <c r="D731">
        <v>2023</v>
      </c>
      <c r="E731">
        <v>2022</v>
      </c>
      <c r="F731">
        <v>696</v>
      </c>
      <c r="H731" t="s">
        <v>1333</v>
      </c>
      <c r="I731">
        <v>140</v>
      </c>
      <c r="J731">
        <v>0</v>
      </c>
      <c r="K731" t="s">
        <v>261</v>
      </c>
      <c r="R731" t="s">
        <v>1334</v>
      </c>
      <c r="S731" t="str">
        <f>"30"</f>
        <v>30</v>
      </c>
      <c r="T731" t="s">
        <v>78</v>
      </c>
      <c r="W731" t="s">
        <v>1337</v>
      </c>
      <c r="Y731">
        <v>3478</v>
      </c>
      <c r="Z731" t="s">
        <v>264</v>
      </c>
      <c r="AB731" t="s">
        <v>265</v>
      </c>
      <c r="AC731" t="s">
        <v>116</v>
      </c>
      <c r="AD731" t="s">
        <v>266</v>
      </c>
      <c r="AF731">
        <v>2023</v>
      </c>
      <c r="AG731">
        <v>334</v>
      </c>
      <c r="AH731" t="str">
        <f t="shared" si="71"/>
        <v>1</v>
      </c>
      <c r="AI731" t="s">
        <v>267</v>
      </c>
      <c r="AJ731" s="1">
        <v>44981</v>
      </c>
      <c r="AK731" t="s">
        <v>1337</v>
      </c>
      <c r="AL731" s="2">
        <v>3806.41</v>
      </c>
      <c r="AN731">
        <v>2023</v>
      </c>
      <c r="AO731">
        <v>187</v>
      </c>
      <c r="AP731" s="2">
        <v>3806.41</v>
      </c>
      <c r="AQ731">
        <v>0</v>
      </c>
      <c r="AR731">
        <v>600</v>
      </c>
      <c r="AS731" t="str">
        <f>"1040"</f>
        <v>1040</v>
      </c>
      <c r="AT731">
        <v>3000.01</v>
      </c>
      <c r="AU731">
        <v>600</v>
      </c>
      <c r="AV731">
        <v>2023</v>
      </c>
      <c r="AW731">
        <v>178</v>
      </c>
      <c r="AX731">
        <v>620</v>
      </c>
      <c r="AY731">
        <v>0</v>
      </c>
      <c r="AZ731" t="s">
        <v>1338</v>
      </c>
      <c r="BA731">
        <v>3806.41</v>
      </c>
      <c r="BB731" s="1">
        <v>44991</v>
      </c>
    </row>
    <row r="732" spans="1:54" x14ac:dyDescent="0.25">
      <c r="A732">
        <v>2023</v>
      </c>
      <c r="B732">
        <v>357</v>
      </c>
      <c r="C732" s="1">
        <v>44991</v>
      </c>
      <c r="D732">
        <v>2023</v>
      </c>
      <c r="E732">
        <v>2022</v>
      </c>
      <c r="F732">
        <v>18</v>
      </c>
      <c r="H732" t="s">
        <v>61</v>
      </c>
      <c r="I732">
        <v>143</v>
      </c>
      <c r="J732">
        <v>0</v>
      </c>
      <c r="K732" t="s">
        <v>62</v>
      </c>
      <c r="R732" s="3">
        <v>8.0852489999999996E+94</v>
      </c>
      <c r="S732" t="str">
        <f>"33"</f>
        <v>33</v>
      </c>
      <c r="T732" t="s">
        <v>64</v>
      </c>
      <c r="W732" t="s">
        <v>1339</v>
      </c>
      <c r="Y732">
        <v>3142</v>
      </c>
      <c r="Z732" t="s">
        <v>66</v>
      </c>
      <c r="AB732" t="str">
        <f>"01269980338"</f>
        <v>01269980338</v>
      </c>
      <c r="AC732" t="s">
        <v>116</v>
      </c>
      <c r="AD732" t="s">
        <v>366</v>
      </c>
      <c r="AF732">
        <v>2023</v>
      </c>
      <c r="AG732">
        <v>404</v>
      </c>
      <c r="AH732" t="str">
        <f>"7"</f>
        <v>7</v>
      </c>
      <c r="AI732" t="s">
        <v>367</v>
      </c>
      <c r="AJ732" s="1">
        <v>44972</v>
      </c>
      <c r="AK732" t="s">
        <v>1340</v>
      </c>
      <c r="AL732" s="2">
        <v>1539.5</v>
      </c>
      <c r="AN732">
        <v>2023</v>
      </c>
      <c r="AO732">
        <v>244</v>
      </c>
      <c r="AP732" s="2">
        <v>1539.5</v>
      </c>
      <c r="AQ732">
        <v>0</v>
      </c>
      <c r="AR732">
        <v>0</v>
      </c>
      <c r="BA732">
        <v>1539.5</v>
      </c>
      <c r="BB732" s="1">
        <v>44991</v>
      </c>
    </row>
    <row r="733" spans="1:54" x14ac:dyDescent="0.25">
      <c r="A733">
        <v>2023</v>
      </c>
      <c r="B733">
        <v>357</v>
      </c>
      <c r="C733" s="1">
        <v>44991</v>
      </c>
      <c r="D733">
        <v>2023</v>
      </c>
      <c r="E733">
        <v>2022</v>
      </c>
      <c r="F733">
        <v>18</v>
      </c>
      <c r="H733" t="s">
        <v>61</v>
      </c>
      <c r="I733">
        <v>143</v>
      </c>
      <c r="J733">
        <v>0</v>
      </c>
      <c r="K733" t="s">
        <v>62</v>
      </c>
      <c r="R733" s="3">
        <v>8.0852489999999996E+94</v>
      </c>
      <c r="S733" t="str">
        <f>"33"</f>
        <v>33</v>
      </c>
      <c r="T733" t="s">
        <v>64</v>
      </c>
      <c r="W733" t="s">
        <v>1339</v>
      </c>
      <c r="Y733">
        <v>3142</v>
      </c>
      <c r="Z733" t="s">
        <v>66</v>
      </c>
      <c r="AB733" t="str">
        <f>"01269980338"</f>
        <v>01269980338</v>
      </c>
      <c r="AC733" t="s">
        <v>116</v>
      </c>
      <c r="AD733" t="s">
        <v>366</v>
      </c>
      <c r="AF733">
        <v>2023</v>
      </c>
      <c r="AG733">
        <v>584</v>
      </c>
      <c r="AH733" t="str">
        <f>"7"</f>
        <v>7</v>
      </c>
      <c r="AI733" t="s">
        <v>1341</v>
      </c>
      <c r="AJ733" s="1">
        <v>44987</v>
      </c>
      <c r="AK733" t="s">
        <v>1342</v>
      </c>
      <c r="AL733">
        <v>29</v>
      </c>
      <c r="AN733">
        <v>2023</v>
      </c>
      <c r="AO733">
        <v>286</v>
      </c>
      <c r="AP733">
        <v>29</v>
      </c>
      <c r="AQ733">
        <v>0</v>
      </c>
      <c r="AR733">
        <v>0</v>
      </c>
      <c r="BA733">
        <v>29</v>
      </c>
      <c r="BB733" s="1">
        <v>44991</v>
      </c>
    </row>
    <row r="734" spans="1:54" x14ac:dyDescent="0.25">
      <c r="A734">
        <v>2023</v>
      </c>
      <c r="B734">
        <v>358</v>
      </c>
      <c r="C734" s="1">
        <v>44991</v>
      </c>
      <c r="D734">
        <v>2023</v>
      </c>
      <c r="E734">
        <v>2023</v>
      </c>
      <c r="F734">
        <v>142</v>
      </c>
      <c r="H734" t="s">
        <v>1343</v>
      </c>
      <c r="I734">
        <v>119</v>
      </c>
      <c r="J734">
        <v>0</v>
      </c>
      <c r="K734" t="s">
        <v>137</v>
      </c>
      <c r="R734" t="s">
        <v>1344</v>
      </c>
      <c r="S734" t="str">
        <f>"30"</f>
        <v>30</v>
      </c>
      <c r="T734" t="s">
        <v>78</v>
      </c>
      <c r="W734" t="s">
        <v>1345</v>
      </c>
      <c r="Y734">
        <v>1337</v>
      </c>
      <c r="Z734" t="s">
        <v>1346</v>
      </c>
      <c r="AB734" t="str">
        <f>"03834380275"</f>
        <v>03834380275</v>
      </c>
      <c r="AC734" t="s">
        <v>116</v>
      </c>
      <c r="AD734" t="s">
        <v>1347</v>
      </c>
      <c r="AF734">
        <v>2023</v>
      </c>
      <c r="AG734">
        <v>589</v>
      </c>
      <c r="AH734" t="str">
        <f>"7"</f>
        <v>7</v>
      </c>
      <c r="AI734" t="s">
        <v>1348</v>
      </c>
      <c r="AJ734" s="1">
        <v>44985</v>
      </c>
      <c r="AK734" t="s">
        <v>1345</v>
      </c>
      <c r="AL734">
        <v>300</v>
      </c>
      <c r="AN734">
        <v>2023</v>
      </c>
      <c r="AO734">
        <v>285</v>
      </c>
      <c r="AP734">
        <v>300</v>
      </c>
      <c r="AQ734">
        <v>0</v>
      </c>
      <c r="AR734">
        <v>0</v>
      </c>
      <c r="BA734">
        <v>300</v>
      </c>
      <c r="BB734" s="1">
        <v>44991</v>
      </c>
    </row>
    <row r="735" spans="1:54" x14ac:dyDescent="0.25">
      <c r="A735">
        <v>2023</v>
      </c>
      <c r="B735">
        <v>359</v>
      </c>
      <c r="C735" s="1">
        <v>44992</v>
      </c>
      <c r="D735">
        <v>2023</v>
      </c>
      <c r="E735">
        <v>2023</v>
      </c>
      <c r="F735">
        <v>123</v>
      </c>
      <c r="H735" t="s">
        <v>1349</v>
      </c>
      <c r="I735">
        <v>120</v>
      </c>
      <c r="J735">
        <v>0</v>
      </c>
      <c r="K735" t="s">
        <v>120</v>
      </c>
      <c r="R735" t="s">
        <v>1350</v>
      </c>
      <c r="S735" t="str">
        <f t="shared" ref="S735:S741" si="73">"31"</f>
        <v>31</v>
      </c>
      <c r="T735" t="s">
        <v>122</v>
      </c>
      <c r="W735" t="s">
        <v>1351</v>
      </c>
      <c r="Y735">
        <v>22</v>
      </c>
      <c r="Z735" t="s">
        <v>684</v>
      </c>
      <c r="AB735" t="str">
        <f>"01596440279"</f>
        <v>01596440279</v>
      </c>
      <c r="AC735" t="s">
        <v>116</v>
      </c>
      <c r="AD735" t="s">
        <v>685</v>
      </c>
      <c r="AF735">
        <v>2023</v>
      </c>
      <c r="AG735">
        <v>588</v>
      </c>
      <c r="AH735" t="str">
        <f t="shared" ref="AH735:AH775" si="74">"1"</f>
        <v>1</v>
      </c>
      <c r="AI735" t="s">
        <v>1352</v>
      </c>
      <c r="AJ735" s="1">
        <v>44984</v>
      </c>
      <c r="AK735" t="s">
        <v>1353</v>
      </c>
      <c r="AL735">
        <v>434.09</v>
      </c>
      <c r="AM735" t="str">
        <f>"9122633099"</f>
        <v>9122633099</v>
      </c>
      <c r="AN735">
        <v>2023</v>
      </c>
      <c r="AO735">
        <v>289</v>
      </c>
      <c r="AP735">
        <v>368.58</v>
      </c>
      <c r="AQ735">
        <v>0</v>
      </c>
      <c r="AR735">
        <v>78.28</v>
      </c>
      <c r="AS735" t="s">
        <v>177</v>
      </c>
      <c r="AT735">
        <v>355.81</v>
      </c>
      <c r="AU735">
        <v>78.28</v>
      </c>
      <c r="AV735">
        <v>2023</v>
      </c>
      <c r="AW735">
        <v>179</v>
      </c>
      <c r="AX735">
        <v>670</v>
      </c>
      <c r="AY735">
        <v>0</v>
      </c>
      <c r="AZ735" t="s">
        <v>1354</v>
      </c>
      <c r="BA735">
        <v>368.58</v>
      </c>
      <c r="BB735" s="1">
        <v>44992</v>
      </c>
    </row>
    <row r="736" spans="1:54" x14ac:dyDescent="0.25">
      <c r="A736">
        <v>2023</v>
      </c>
      <c r="B736">
        <v>360</v>
      </c>
      <c r="C736" s="1">
        <v>44992</v>
      </c>
      <c r="D736">
        <v>2023</v>
      </c>
      <c r="E736">
        <v>2023</v>
      </c>
      <c r="F736">
        <v>41</v>
      </c>
      <c r="H736" t="s">
        <v>781</v>
      </c>
      <c r="I736">
        <v>120</v>
      </c>
      <c r="J736">
        <v>0</v>
      </c>
      <c r="K736" t="s">
        <v>120</v>
      </c>
      <c r="R736" t="s">
        <v>782</v>
      </c>
      <c r="S736" t="str">
        <f t="shared" si="73"/>
        <v>31</v>
      </c>
      <c r="T736" t="s">
        <v>122</v>
      </c>
      <c r="W736" t="s">
        <v>1355</v>
      </c>
      <c r="Y736">
        <v>22</v>
      </c>
      <c r="Z736" t="s">
        <v>684</v>
      </c>
      <c r="AB736" t="str">
        <f>"01596440279"</f>
        <v>01596440279</v>
      </c>
      <c r="AC736" t="s">
        <v>116</v>
      </c>
      <c r="AD736" t="s">
        <v>685</v>
      </c>
      <c r="AF736">
        <v>2023</v>
      </c>
      <c r="AG736">
        <v>588</v>
      </c>
      <c r="AH736" t="str">
        <f t="shared" si="74"/>
        <v>1</v>
      </c>
      <c r="AI736" t="s">
        <v>1352</v>
      </c>
      <c r="AJ736" s="1">
        <v>44984</v>
      </c>
      <c r="AK736" t="s">
        <v>1353</v>
      </c>
      <c r="AL736">
        <v>434.09</v>
      </c>
      <c r="AM736" t="str">
        <f>"9122633099"</f>
        <v>9122633099</v>
      </c>
      <c r="AN736">
        <v>2023</v>
      </c>
      <c r="AO736">
        <v>288</v>
      </c>
      <c r="AP736">
        <v>65.510000000000005</v>
      </c>
      <c r="AQ736">
        <v>0</v>
      </c>
      <c r="AR736">
        <v>0</v>
      </c>
      <c r="BA736">
        <v>65.510000000000005</v>
      </c>
      <c r="BB736" s="1">
        <v>44992</v>
      </c>
    </row>
    <row r="737" spans="1:54" x14ac:dyDescent="0.25">
      <c r="A737">
        <v>2023</v>
      </c>
      <c r="B737">
        <v>361</v>
      </c>
      <c r="C737" s="1">
        <v>44992</v>
      </c>
      <c r="D737">
        <v>2023</v>
      </c>
      <c r="E737">
        <v>2023</v>
      </c>
      <c r="F737">
        <v>41</v>
      </c>
      <c r="H737" t="s">
        <v>781</v>
      </c>
      <c r="I737">
        <v>120</v>
      </c>
      <c r="J737">
        <v>0</v>
      </c>
      <c r="K737" t="s">
        <v>120</v>
      </c>
      <c r="R737" t="s">
        <v>782</v>
      </c>
      <c r="S737" t="str">
        <f t="shared" si="73"/>
        <v>31</v>
      </c>
      <c r="T737" t="s">
        <v>122</v>
      </c>
      <c r="W737" t="s">
        <v>1356</v>
      </c>
      <c r="Y737">
        <v>22</v>
      </c>
      <c r="Z737" t="s">
        <v>684</v>
      </c>
      <c r="AB737" t="str">
        <f>"01596440279"</f>
        <v>01596440279</v>
      </c>
      <c r="AC737" t="s">
        <v>116</v>
      </c>
      <c r="AD737" t="s">
        <v>685</v>
      </c>
      <c r="AF737">
        <v>2023</v>
      </c>
      <c r="AG737">
        <v>377</v>
      </c>
      <c r="AH737" t="str">
        <f t="shared" si="74"/>
        <v>1</v>
      </c>
      <c r="AI737" t="s">
        <v>1357</v>
      </c>
      <c r="AJ737" s="1">
        <v>44967</v>
      </c>
      <c r="AK737" t="s">
        <v>1356</v>
      </c>
      <c r="AL737">
        <v>429.18</v>
      </c>
      <c r="AM737" t="str">
        <f>"9031960102"</f>
        <v>9031960102</v>
      </c>
      <c r="AN737">
        <v>2023</v>
      </c>
      <c r="AO737">
        <v>287</v>
      </c>
      <c r="AP737">
        <v>429.18</v>
      </c>
      <c r="AQ737">
        <v>0</v>
      </c>
      <c r="AR737">
        <v>133.11000000000001</v>
      </c>
      <c r="AS737" t="s">
        <v>177</v>
      </c>
      <c r="AT737">
        <v>351.79</v>
      </c>
      <c r="AU737">
        <v>77.39</v>
      </c>
      <c r="AV737">
        <v>2023</v>
      </c>
      <c r="AW737">
        <v>180</v>
      </c>
      <c r="AX737">
        <v>670</v>
      </c>
      <c r="AY737">
        <v>0</v>
      </c>
      <c r="AZ737" t="s">
        <v>1358</v>
      </c>
      <c r="BA737">
        <v>429.18</v>
      </c>
      <c r="BB737" s="1">
        <v>44992</v>
      </c>
    </row>
    <row r="738" spans="1:54" x14ac:dyDescent="0.25">
      <c r="A738">
        <v>2023</v>
      </c>
      <c r="B738">
        <v>361</v>
      </c>
      <c r="C738" s="1">
        <v>44992</v>
      </c>
      <c r="D738">
        <v>2023</v>
      </c>
      <c r="E738">
        <v>2023</v>
      </c>
      <c r="F738">
        <v>41</v>
      </c>
      <c r="H738" t="s">
        <v>781</v>
      </c>
      <c r="I738">
        <v>120</v>
      </c>
      <c r="J738">
        <v>0</v>
      </c>
      <c r="K738" t="s">
        <v>120</v>
      </c>
      <c r="R738" t="s">
        <v>782</v>
      </c>
      <c r="S738" t="str">
        <f t="shared" si="73"/>
        <v>31</v>
      </c>
      <c r="T738" t="s">
        <v>122</v>
      </c>
      <c r="W738" t="s">
        <v>1356</v>
      </c>
      <c r="Y738">
        <v>22</v>
      </c>
      <c r="Z738" t="s">
        <v>684</v>
      </c>
      <c r="AB738" t="str">
        <f>"01596440279"</f>
        <v>01596440279</v>
      </c>
      <c r="AC738" t="s">
        <v>116</v>
      </c>
      <c r="AD738" t="s">
        <v>685</v>
      </c>
      <c r="AF738">
        <v>2023</v>
      </c>
      <c r="AG738">
        <v>378</v>
      </c>
      <c r="AH738" t="str">
        <f t="shared" si="74"/>
        <v>1</v>
      </c>
      <c r="AI738" t="s">
        <v>1359</v>
      </c>
      <c r="AJ738" s="1">
        <v>44967</v>
      </c>
      <c r="AK738" t="s">
        <v>1356</v>
      </c>
      <c r="AL738">
        <v>308.98</v>
      </c>
      <c r="AM738" t="str">
        <f>"9031908249"</f>
        <v>9031908249</v>
      </c>
      <c r="AN738">
        <v>2023</v>
      </c>
      <c r="AO738">
        <v>287</v>
      </c>
      <c r="AP738">
        <v>308.98</v>
      </c>
      <c r="AQ738">
        <v>0</v>
      </c>
      <c r="AR738">
        <v>133.11000000000001</v>
      </c>
      <c r="AS738" t="s">
        <v>177</v>
      </c>
      <c r="AT738">
        <v>253.26</v>
      </c>
      <c r="AU738">
        <v>55.72</v>
      </c>
      <c r="AV738">
        <v>2023</v>
      </c>
      <c r="AW738">
        <v>180</v>
      </c>
      <c r="AX738">
        <v>670</v>
      </c>
      <c r="AY738">
        <v>0</v>
      </c>
      <c r="AZ738" t="s">
        <v>1358</v>
      </c>
      <c r="BA738">
        <v>308.98</v>
      </c>
      <c r="BB738" s="1">
        <v>44992</v>
      </c>
    </row>
    <row r="739" spans="1:54" x14ac:dyDescent="0.25">
      <c r="A739">
        <v>2023</v>
      </c>
      <c r="B739">
        <v>362</v>
      </c>
      <c r="C739" s="1">
        <v>44992</v>
      </c>
      <c r="D739">
        <v>2023</v>
      </c>
      <c r="E739">
        <v>2022</v>
      </c>
      <c r="F739">
        <v>281</v>
      </c>
      <c r="H739" t="s">
        <v>1360</v>
      </c>
      <c r="I739">
        <v>149</v>
      </c>
      <c r="J739">
        <v>0</v>
      </c>
      <c r="K739" t="s">
        <v>277</v>
      </c>
      <c r="R739" t="s">
        <v>1361</v>
      </c>
      <c r="S739" t="str">
        <f t="shared" si="73"/>
        <v>31</v>
      </c>
      <c r="T739" t="s">
        <v>122</v>
      </c>
      <c r="W739" t="s">
        <v>1362</v>
      </c>
      <c r="Y739">
        <v>1977</v>
      </c>
      <c r="Z739" t="s">
        <v>1363</v>
      </c>
      <c r="AB739" t="str">
        <f>"04074190267"</f>
        <v>04074190267</v>
      </c>
      <c r="AC739" t="s">
        <v>116</v>
      </c>
      <c r="AD739" t="s">
        <v>1364</v>
      </c>
      <c r="AF739">
        <v>2022</v>
      </c>
      <c r="AG739">
        <v>3675</v>
      </c>
      <c r="AH739" t="str">
        <f t="shared" si="74"/>
        <v>1</v>
      </c>
      <c r="AI739" t="str">
        <f>"101"</f>
        <v>101</v>
      </c>
      <c r="AJ739" s="1">
        <v>44894</v>
      </c>
      <c r="AK739" t="s">
        <v>1365</v>
      </c>
      <c r="AL739" s="2">
        <v>3111</v>
      </c>
      <c r="AM739" t="str">
        <f>"8521684769"</f>
        <v>8521684769</v>
      </c>
      <c r="AN739">
        <v>2023</v>
      </c>
      <c r="AO739">
        <v>76</v>
      </c>
      <c r="AP739" s="2">
        <v>2440</v>
      </c>
      <c r="AQ739">
        <v>0</v>
      </c>
      <c r="AR739">
        <v>561</v>
      </c>
      <c r="AS739" t="s">
        <v>177</v>
      </c>
      <c r="AT739">
        <v>2550</v>
      </c>
      <c r="AU739">
        <v>561</v>
      </c>
      <c r="AV739">
        <v>2023</v>
      </c>
      <c r="AW739">
        <v>181</v>
      </c>
      <c r="AX739">
        <v>670</v>
      </c>
      <c r="AY739">
        <v>0</v>
      </c>
      <c r="AZ739" t="s">
        <v>1366</v>
      </c>
      <c r="BA739">
        <v>2440</v>
      </c>
      <c r="BB739" s="1">
        <v>44992</v>
      </c>
    </row>
    <row r="740" spans="1:54" x14ac:dyDescent="0.25">
      <c r="A740">
        <v>2023</v>
      </c>
      <c r="B740">
        <v>363</v>
      </c>
      <c r="C740" s="1">
        <v>44992</v>
      </c>
      <c r="D740">
        <v>2023</v>
      </c>
      <c r="E740">
        <v>2022</v>
      </c>
      <c r="F740">
        <v>617</v>
      </c>
      <c r="H740" t="s">
        <v>1367</v>
      </c>
      <c r="I740">
        <v>149</v>
      </c>
      <c r="J740">
        <v>0</v>
      </c>
      <c r="K740" t="s">
        <v>277</v>
      </c>
      <c r="R740" t="s">
        <v>1368</v>
      </c>
      <c r="S740" t="str">
        <f t="shared" si="73"/>
        <v>31</v>
      </c>
      <c r="T740" t="s">
        <v>122</v>
      </c>
      <c r="W740" t="s">
        <v>1369</v>
      </c>
      <c r="Y740">
        <v>1977</v>
      </c>
      <c r="Z740" t="s">
        <v>1363</v>
      </c>
      <c r="AB740" t="str">
        <f>"04074190267"</f>
        <v>04074190267</v>
      </c>
      <c r="AC740" t="s">
        <v>116</v>
      </c>
      <c r="AD740" t="s">
        <v>1364</v>
      </c>
      <c r="AF740">
        <v>2022</v>
      </c>
      <c r="AG740">
        <v>3675</v>
      </c>
      <c r="AH740" t="str">
        <f t="shared" si="74"/>
        <v>1</v>
      </c>
      <c r="AI740" t="str">
        <f>"101"</f>
        <v>101</v>
      </c>
      <c r="AJ740" s="1">
        <v>44894</v>
      </c>
      <c r="AK740" t="s">
        <v>1365</v>
      </c>
      <c r="AL740" s="2">
        <v>3111</v>
      </c>
      <c r="AM740" t="str">
        <f>"8521684769"</f>
        <v>8521684769</v>
      </c>
      <c r="AN740">
        <v>2023</v>
      </c>
      <c r="AO740">
        <v>77</v>
      </c>
      <c r="AP740">
        <v>671</v>
      </c>
      <c r="AQ740">
        <v>0</v>
      </c>
      <c r="AR740">
        <v>0</v>
      </c>
      <c r="BA740">
        <v>671</v>
      </c>
      <c r="BB740" s="1">
        <v>44992</v>
      </c>
    </row>
    <row r="741" spans="1:54" x14ac:dyDescent="0.25">
      <c r="A741">
        <v>2023</v>
      </c>
      <c r="B741">
        <v>364</v>
      </c>
      <c r="C741" s="1">
        <v>44992</v>
      </c>
      <c r="D741">
        <v>2023</v>
      </c>
      <c r="E741">
        <v>2022</v>
      </c>
      <c r="F741">
        <v>551</v>
      </c>
      <c r="H741" t="s">
        <v>1370</v>
      </c>
      <c r="I741">
        <v>120</v>
      </c>
      <c r="J741">
        <v>0</v>
      </c>
      <c r="K741" t="s">
        <v>120</v>
      </c>
      <c r="R741" t="s">
        <v>1371</v>
      </c>
      <c r="S741" t="str">
        <f t="shared" si="73"/>
        <v>31</v>
      </c>
      <c r="T741" t="s">
        <v>122</v>
      </c>
      <c r="W741" t="s">
        <v>1372</v>
      </c>
      <c r="Y741">
        <v>435</v>
      </c>
      <c r="Z741" t="s">
        <v>1373</v>
      </c>
      <c r="AB741" t="str">
        <f>"00569780307"</f>
        <v>00569780307</v>
      </c>
      <c r="AC741" t="s">
        <v>116</v>
      </c>
      <c r="AD741" t="s">
        <v>1374</v>
      </c>
      <c r="AF741">
        <v>2022</v>
      </c>
      <c r="AG741">
        <v>3723</v>
      </c>
      <c r="AH741" t="str">
        <f t="shared" si="74"/>
        <v>1</v>
      </c>
      <c r="AI741" t="str">
        <f>"21"</f>
        <v>21</v>
      </c>
      <c r="AJ741" s="1">
        <v>44895</v>
      </c>
      <c r="AK741" t="s">
        <v>1372</v>
      </c>
      <c r="AL741">
        <v>512.4</v>
      </c>
      <c r="AM741" t="str">
        <f>"8599235121"</f>
        <v>8599235121</v>
      </c>
      <c r="AN741">
        <v>2023</v>
      </c>
      <c r="AO741">
        <v>80</v>
      </c>
      <c r="AP741">
        <v>512.4</v>
      </c>
      <c r="AQ741">
        <v>0</v>
      </c>
      <c r="AR741">
        <v>92.4</v>
      </c>
      <c r="AS741" t="s">
        <v>177</v>
      </c>
      <c r="AT741">
        <v>420</v>
      </c>
      <c r="AU741">
        <v>92.4</v>
      </c>
      <c r="AV741">
        <v>2023</v>
      </c>
      <c r="AW741">
        <v>182</v>
      </c>
      <c r="AX741">
        <v>670</v>
      </c>
      <c r="AY741">
        <v>0</v>
      </c>
      <c r="AZ741" t="s">
        <v>1375</v>
      </c>
      <c r="BA741">
        <v>512.4</v>
      </c>
      <c r="BB741" s="1">
        <v>44992</v>
      </c>
    </row>
    <row r="742" spans="1:54" x14ac:dyDescent="0.25">
      <c r="A742">
        <v>2023</v>
      </c>
      <c r="B742">
        <v>365</v>
      </c>
      <c r="C742" s="1">
        <v>44992</v>
      </c>
      <c r="D742">
        <v>2023</v>
      </c>
      <c r="E742">
        <v>2023</v>
      </c>
      <c r="F742">
        <v>83</v>
      </c>
      <c r="H742" t="s">
        <v>1376</v>
      </c>
      <c r="I742">
        <v>270</v>
      </c>
      <c r="J742">
        <v>0</v>
      </c>
      <c r="K742" t="s">
        <v>925</v>
      </c>
      <c r="R742" t="s">
        <v>1377</v>
      </c>
      <c r="S742" t="str">
        <f>"30"</f>
        <v>30</v>
      </c>
      <c r="T742" t="s">
        <v>78</v>
      </c>
      <c r="W742" t="s">
        <v>1378</v>
      </c>
      <c r="Y742">
        <v>1501</v>
      </c>
      <c r="Z742" t="s">
        <v>1379</v>
      </c>
      <c r="AB742" t="str">
        <f>"02323180279"</f>
        <v>02323180279</v>
      </c>
      <c r="AC742" t="s">
        <v>116</v>
      </c>
      <c r="AD742" t="s">
        <v>1380</v>
      </c>
      <c r="AF742">
        <v>2023</v>
      </c>
      <c r="AG742">
        <v>331</v>
      </c>
      <c r="AH742" t="str">
        <f t="shared" si="74"/>
        <v>1</v>
      </c>
      <c r="AI742" t="s">
        <v>1381</v>
      </c>
      <c r="AJ742" s="1">
        <v>44958</v>
      </c>
      <c r="AK742" t="s">
        <v>1378</v>
      </c>
      <c r="AL742" s="2">
        <v>2292.16</v>
      </c>
      <c r="AM742" t="str">
        <f>"8970155791"</f>
        <v>8970155791</v>
      </c>
      <c r="AN742">
        <v>2023</v>
      </c>
      <c r="AO742">
        <v>212</v>
      </c>
      <c r="AP742" s="2">
        <v>2292.16</v>
      </c>
      <c r="AQ742">
        <v>0</v>
      </c>
      <c r="AR742">
        <v>413.34</v>
      </c>
      <c r="AS742" t="s">
        <v>177</v>
      </c>
      <c r="AT742">
        <v>1878.82</v>
      </c>
      <c r="AU742">
        <v>413.34</v>
      </c>
      <c r="AV742">
        <v>2023</v>
      </c>
      <c r="AW742">
        <v>183</v>
      </c>
      <c r="AX742">
        <v>670</v>
      </c>
      <c r="AY742">
        <v>0</v>
      </c>
      <c r="AZ742" t="s">
        <v>1382</v>
      </c>
      <c r="BA742">
        <v>2292.16</v>
      </c>
      <c r="BB742" s="1">
        <v>44992</v>
      </c>
    </row>
    <row r="743" spans="1:54" x14ac:dyDescent="0.25">
      <c r="A743">
        <v>2023</v>
      </c>
      <c r="B743">
        <v>366</v>
      </c>
      <c r="C743" s="1">
        <v>44992</v>
      </c>
      <c r="D743">
        <v>2023</v>
      </c>
      <c r="E743">
        <v>2022</v>
      </c>
      <c r="F743">
        <v>615</v>
      </c>
      <c r="H743" t="s">
        <v>1383</v>
      </c>
      <c r="I743">
        <v>270</v>
      </c>
      <c r="J743">
        <v>0</v>
      </c>
      <c r="K743" t="s">
        <v>925</v>
      </c>
      <c r="R743" t="s">
        <v>1384</v>
      </c>
      <c r="S743" t="str">
        <f>"31"</f>
        <v>31</v>
      </c>
      <c r="T743" t="s">
        <v>122</v>
      </c>
      <c r="W743" t="s">
        <v>1385</v>
      </c>
      <c r="Y743">
        <v>1173</v>
      </c>
      <c r="Z743" t="s">
        <v>1386</v>
      </c>
      <c r="AB743" t="str">
        <f>"01546590306"</f>
        <v>01546590306</v>
      </c>
      <c r="AC743" t="s">
        <v>116</v>
      </c>
      <c r="AD743" t="s">
        <v>1387</v>
      </c>
      <c r="AF743">
        <v>2022</v>
      </c>
      <c r="AG743">
        <v>3827</v>
      </c>
      <c r="AH743" t="str">
        <f t="shared" si="74"/>
        <v>1</v>
      </c>
      <c r="AI743" t="str">
        <f>"331"</f>
        <v>331</v>
      </c>
      <c r="AJ743" s="1">
        <v>44915</v>
      </c>
      <c r="AK743" t="s">
        <v>1385</v>
      </c>
      <c r="AL743" s="2">
        <v>2846.8</v>
      </c>
      <c r="AM743" t="str">
        <f>"8682553623"</f>
        <v>8682553623</v>
      </c>
      <c r="AN743">
        <v>2023</v>
      </c>
      <c r="AO743">
        <v>56</v>
      </c>
      <c r="AP743" s="2">
        <v>2846.8</v>
      </c>
      <c r="AQ743">
        <v>0</v>
      </c>
      <c r="AR743">
        <v>513.36</v>
      </c>
      <c r="AS743" t="s">
        <v>177</v>
      </c>
      <c r="AT743">
        <v>2333.44</v>
      </c>
      <c r="AU743">
        <v>513.36</v>
      </c>
      <c r="AV743">
        <v>2023</v>
      </c>
      <c r="AW743">
        <v>184</v>
      </c>
      <c r="AX743">
        <v>670</v>
      </c>
      <c r="AY743">
        <v>0</v>
      </c>
      <c r="AZ743" t="s">
        <v>1388</v>
      </c>
      <c r="BA743">
        <v>2846.8</v>
      </c>
      <c r="BB743" s="1">
        <v>44992</v>
      </c>
    </row>
    <row r="744" spans="1:54" x14ac:dyDescent="0.25">
      <c r="A744">
        <v>2023</v>
      </c>
      <c r="B744">
        <v>367</v>
      </c>
      <c r="C744" s="1">
        <v>44992</v>
      </c>
      <c r="D744">
        <v>2023</v>
      </c>
      <c r="E744">
        <v>2022</v>
      </c>
      <c r="F744">
        <v>664</v>
      </c>
      <c r="H744" t="s">
        <v>1389</v>
      </c>
      <c r="I744">
        <v>149</v>
      </c>
      <c r="J744">
        <v>0</v>
      </c>
      <c r="K744" t="s">
        <v>277</v>
      </c>
      <c r="R744" t="s">
        <v>1390</v>
      </c>
      <c r="S744" t="str">
        <f>"30"</f>
        <v>30</v>
      </c>
      <c r="T744" t="s">
        <v>78</v>
      </c>
      <c r="W744" t="s">
        <v>1391</v>
      </c>
      <c r="Y744">
        <v>1075</v>
      </c>
      <c r="Z744" t="s">
        <v>1392</v>
      </c>
      <c r="AB744" t="str">
        <f>"12090330155"</f>
        <v>12090330155</v>
      </c>
      <c r="AC744" t="s">
        <v>116</v>
      </c>
      <c r="AD744" t="s">
        <v>1393</v>
      </c>
      <c r="AF744">
        <v>2022</v>
      </c>
      <c r="AG744">
        <v>3819</v>
      </c>
      <c r="AH744" t="str">
        <f t="shared" si="74"/>
        <v>1</v>
      </c>
      <c r="AI744" t="str">
        <f>"0095149968"</f>
        <v>0095149968</v>
      </c>
      <c r="AJ744" s="1">
        <v>44909</v>
      </c>
      <c r="AK744" t="s">
        <v>1391</v>
      </c>
      <c r="AL744">
        <v>822.28</v>
      </c>
      <c r="AM744" t="str">
        <f>"8632930214"</f>
        <v>8632930214</v>
      </c>
      <c r="AN744">
        <v>2023</v>
      </c>
      <c r="AO744">
        <v>86</v>
      </c>
      <c r="AP744">
        <v>822.28</v>
      </c>
      <c r="AQ744">
        <v>0</v>
      </c>
      <c r="AR744">
        <v>148.28</v>
      </c>
      <c r="AS744" t="s">
        <v>177</v>
      </c>
      <c r="AT744">
        <v>674</v>
      </c>
      <c r="AU744">
        <v>148.28</v>
      </c>
      <c r="AV744">
        <v>2023</v>
      </c>
      <c r="AW744">
        <v>185</v>
      </c>
      <c r="AX744">
        <v>670</v>
      </c>
      <c r="AY744">
        <v>0</v>
      </c>
      <c r="AZ744" t="s">
        <v>1394</v>
      </c>
      <c r="BA744">
        <v>822.28</v>
      </c>
      <c r="BB744" s="1">
        <v>44992</v>
      </c>
    </row>
    <row r="745" spans="1:54" x14ac:dyDescent="0.25">
      <c r="A745">
        <v>2023</v>
      </c>
      <c r="B745">
        <v>368</v>
      </c>
      <c r="C745" s="1">
        <v>44992</v>
      </c>
      <c r="D745">
        <v>2023</v>
      </c>
      <c r="E745">
        <v>2022</v>
      </c>
      <c r="F745">
        <v>709</v>
      </c>
      <c r="H745" t="s">
        <v>1395</v>
      </c>
      <c r="I745">
        <v>149</v>
      </c>
      <c r="J745">
        <v>0</v>
      </c>
      <c r="K745" t="s">
        <v>277</v>
      </c>
      <c r="R745" t="s">
        <v>1396</v>
      </c>
      <c r="S745" t="str">
        <f>"30"</f>
        <v>30</v>
      </c>
      <c r="T745" t="s">
        <v>78</v>
      </c>
      <c r="W745" t="s">
        <v>1397</v>
      </c>
      <c r="Y745">
        <v>1491</v>
      </c>
      <c r="Z745" t="s">
        <v>1398</v>
      </c>
      <c r="AB745" t="str">
        <f>"02200450274"</f>
        <v>02200450274</v>
      </c>
      <c r="AC745" t="s">
        <v>116</v>
      </c>
      <c r="AD745" t="s">
        <v>1399</v>
      </c>
      <c r="AF745">
        <v>2023</v>
      </c>
      <c r="AG745">
        <v>326</v>
      </c>
      <c r="AH745" t="str">
        <f t="shared" si="74"/>
        <v>1</v>
      </c>
      <c r="AI745" t="str">
        <f>"4"</f>
        <v>4</v>
      </c>
      <c r="AJ745" s="1">
        <v>44957</v>
      </c>
      <c r="AK745" t="s">
        <v>1397</v>
      </c>
      <c r="AL745" s="2">
        <v>2626.66</v>
      </c>
      <c r="AM745" t="str">
        <f>"8942687329"</f>
        <v>8942687329</v>
      </c>
      <c r="AN745">
        <v>2023</v>
      </c>
      <c r="AO745">
        <v>210</v>
      </c>
      <c r="AP745" s="2">
        <v>2626.66</v>
      </c>
      <c r="AQ745">
        <v>0</v>
      </c>
      <c r="AR745">
        <v>473.66</v>
      </c>
      <c r="AS745" t="s">
        <v>177</v>
      </c>
      <c r="AT745">
        <v>2153</v>
      </c>
      <c r="AU745">
        <v>473.66</v>
      </c>
      <c r="AV745">
        <v>2023</v>
      </c>
      <c r="AW745">
        <v>186</v>
      </c>
      <c r="AX745">
        <v>670</v>
      </c>
      <c r="AY745">
        <v>0</v>
      </c>
      <c r="AZ745" t="s">
        <v>1400</v>
      </c>
      <c r="BA745">
        <v>2626.66</v>
      </c>
      <c r="BB745" s="1">
        <v>44992</v>
      </c>
    </row>
    <row r="746" spans="1:54" x14ac:dyDescent="0.25">
      <c r="A746">
        <v>2023</v>
      </c>
      <c r="B746">
        <v>369</v>
      </c>
      <c r="C746" s="1">
        <v>44992</v>
      </c>
      <c r="D746">
        <v>2023</v>
      </c>
      <c r="E746">
        <v>2022</v>
      </c>
      <c r="F746">
        <v>692</v>
      </c>
      <c r="H746" t="s">
        <v>1401</v>
      </c>
      <c r="I746">
        <v>120</v>
      </c>
      <c r="J746">
        <v>0</v>
      </c>
      <c r="K746" t="s">
        <v>120</v>
      </c>
      <c r="R746" t="s">
        <v>1402</v>
      </c>
      <c r="S746" t="str">
        <f t="shared" ref="S746:S756" si="75">"31"</f>
        <v>31</v>
      </c>
      <c r="T746" t="s">
        <v>122</v>
      </c>
      <c r="W746" t="s">
        <v>1403</v>
      </c>
      <c r="Y746">
        <v>77</v>
      </c>
      <c r="Z746" t="s">
        <v>1404</v>
      </c>
      <c r="AB746" t="str">
        <f>"02041650272"</f>
        <v>02041650272</v>
      </c>
      <c r="AC746" t="s">
        <v>116</v>
      </c>
      <c r="AD746" t="s">
        <v>1405</v>
      </c>
      <c r="AF746">
        <v>2022</v>
      </c>
      <c r="AG746">
        <v>3690</v>
      </c>
      <c r="AH746" t="str">
        <f t="shared" si="74"/>
        <v>1</v>
      </c>
      <c r="AI746" t="s">
        <v>1406</v>
      </c>
      <c r="AJ746" s="1">
        <v>44895</v>
      </c>
      <c r="AK746" t="s">
        <v>1407</v>
      </c>
      <c r="AL746">
        <v>22.56</v>
      </c>
      <c r="AM746" t="str">
        <f>"8551668517"</f>
        <v>8551668517</v>
      </c>
      <c r="AN746">
        <v>2023</v>
      </c>
      <c r="AO746">
        <v>66</v>
      </c>
      <c r="AP746">
        <v>22.56</v>
      </c>
      <c r="AQ746">
        <v>0</v>
      </c>
      <c r="AR746">
        <v>142.22999999999999</v>
      </c>
      <c r="AS746" t="s">
        <v>177</v>
      </c>
      <c r="AT746">
        <v>18.489999999999998</v>
      </c>
      <c r="AU746">
        <v>4.07</v>
      </c>
      <c r="AV746">
        <v>2023</v>
      </c>
      <c r="AW746">
        <v>187</v>
      </c>
      <c r="AX746">
        <v>670</v>
      </c>
      <c r="AY746">
        <v>0</v>
      </c>
      <c r="AZ746" t="s">
        <v>1408</v>
      </c>
      <c r="BA746">
        <v>22.56</v>
      </c>
      <c r="BB746" s="1">
        <v>44992</v>
      </c>
    </row>
    <row r="747" spans="1:54" x14ac:dyDescent="0.25">
      <c r="A747">
        <v>2023</v>
      </c>
      <c r="B747">
        <v>369</v>
      </c>
      <c r="C747" s="1">
        <v>44992</v>
      </c>
      <c r="D747">
        <v>2023</v>
      </c>
      <c r="E747">
        <v>2022</v>
      </c>
      <c r="F747">
        <v>692</v>
      </c>
      <c r="H747" t="s">
        <v>1401</v>
      </c>
      <c r="I747">
        <v>120</v>
      </c>
      <c r="J747">
        <v>0</v>
      </c>
      <c r="K747" t="s">
        <v>120</v>
      </c>
      <c r="R747" t="s">
        <v>1402</v>
      </c>
      <c r="S747" t="str">
        <f t="shared" si="75"/>
        <v>31</v>
      </c>
      <c r="T747" t="s">
        <v>122</v>
      </c>
      <c r="W747" t="s">
        <v>1403</v>
      </c>
      <c r="Y747">
        <v>77</v>
      </c>
      <c r="Z747" t="s">
        <v>1404</v>
      </c>
      <c r="AB747" t="str">
        <f>"02041650272"</f>
        <v>02041650272</v>
      </c>
      <c r="AC747" t="s">
        <v>116</v>
      </c>
      <c r="AD747" t="s">
        <v>1405</v>
      </c>
      <c r="AF747">
        <v>2022</v>
      </c>
      <c r="AG747">
        <v>4012</v>
      </c>
      <c r="AH747" t="str">
        <f t="shared" si="74"/>
        <v>1</v>
      </c>
      <c r="AI747" t="s">
        <v>1409</v>
      </c>
      <c r="AJ747" s="1">
        <v>44918</v>
      </c>
      <c r="AK747" t="s">
        <v>1410</v>
      </c>
      <c r="AL747">
        <v>766.16</v>
      </c>
      <c r="AM747" t="str">
        <f>"8703863157"</f>
        <v>8703863157</v>
      </c>
      <c r="AN747">
        <v>2023</v>
      </c>
      <c r="AO747">
        <v>66</v>
      </c>
      <c r="AP747">
        <v>766.16</v>
      </c>
      <c r="AQ747">
        <v>0</v>
      </c>
      <c r="AR747">
        <v>142.22999999999999</v>
      </c>
      <c r="AS747" t="s">
        <v>177</v>
      </c>
      <c r="AT747">
        <v>628</v>
      </c>
      <c r="AU747">
        <v>138.16</v>
      </c>
      <c r="AV747">
        <v>2023</v>
      </c>
      <c r="AW747">
        <v>187</v>
      </c>
      <c r="AX747">
        <v>670</v>
      </c>
      <c r="AY747">
        <v>0</v>
      </c>
      <c r="AZ747" t="s">
        <v>1408</v>
      </c>
      <c r="BA747">
        <v>766.16</v>
      </c>
      <c r="BB747" s="1">
        <v>44992</v>
      </c>
    </row>
    <row r="748" spans="1:54" x14ac:dyDescent="0.25">
      <c r="A748">
        <v>2023</v>
      </c>
      <c r="B748">
        <v>370</v>
      </c>
      <c r="C748" s="1">
        <v>44992</v>
      </c>
      <c r="D748">
        <v>2023</v>
      </c>
      <c r="E748">
        <v>2022</v>
      </c>
      <c r="F748">
        <v>195</v>
      </c>
      <c r="H748" t="s">
        <v>1411</v>
      </c>
      <c r="I748">
        <v>120</v>
      </c>
      <c r="J748">
        <v>0</v>
      </c>
      <c r="K748" t="s">
        <v>120</v>
      </c>
      <c r="R748" t="s">
        <v>1412</v>
      </c>
      <c r="S748" t="str">
        <f t="shared" si="75"/>
        <v>31</v>
      </c>
      <c r="T748" t="s">
        <v>122</v>
      </c>
      <c r="W748" t="s">
        <v>1413</v>
      </c>
      <c r="Y748">
        <v>37</v>
      </c>
      <c r="Z748" t="s">
        <v>1414</v>
      </c>
      <c r="AB748" t="str">
        <f>"02481680276"</f>
        <v>02481680276</v>
      </c>
      <c r="AC748" t="s">
        <v>116</v>
      </c>
      <c r="AD748" t="s">
        <v>1415</v>
      </c>
      <c r="AF748">
        <v>2022</v>
      </c>
      <c r="AG748">
        <v>3693</v>
      </c>
      <c r="AH748" t="str">
        <f t="shared" si="74"/>
        <v>1</v>
      </c>
      <c r="AI748" t="s">
        <v>1416</v>
      </c>
      <c r="AJ748" s="1">
        <v>44895</v>
      </c>
      <c r="AK748" t="s">
        <v>1413</v>
      </c>
      <c r="AL748" s="2">
        <v>3227.75</v>
      </c>
      <c r="AM748" t="str">
        <f>"8553690405"</f>
        <v>8553690405</v>
      </c>
      <c r="AN748">
        <v>2023</v>
      </c>
      <c r="AO748">
        <v>67</v>
      </c>
      <c r="AP748" s="2">
        <v>3227.75</v>
      </c>
      <c r="AQ748">
        <v>0</v>
      </c>
      <c r="AR748" s="2">
        <v>1111.3</v>
      </c>
      <c r="AS748" t="s">
        <v>177</v>
      </c>
      <c r="AT748">
        <v>2645.7</v>
      </c>
      <c r="AU748">
        <v>582.04999999999995</v>
      </c>
      <c r="AV748">
        <v>2023</v>
      </c>
      <c r="AW748">
        <v>188</v>
      </c>
      <c r="AX748">
        <v>670</v>
      </c>
      <c r="AY748">
        <v>0</v>
      </c>
      <c r="AZ748" t="s">
        <v>1417</v>
      </c>
      <c r="BA748">
        <v>3227.75</v>
      </c>
      <c r="BB748" s="1">
        <v>44992</v>
      </c>
    </row>
    <row r="749" spans="1:54" x14ac:dyDescent="0.25">
      <c r="A749">
        <v>2023</v>
      </c>
      <c r="B749">
        <v>370</v>
      </c>
      <c r="C749" s="1">
        <v>44992</v>
      </c>
      <c r="D749">
        <v>2023</v>
      </c>
      <c r="E749">
        <v>2022</v>
      </c>
      <c r="F749">
        <v>195</v>
      </c>
      <c r="H749" t="s">
        <v>1411</v>
      </c>
      <c r="I749">
        <v>120</v>
      </c>
      <c r="J749">
        <v>0</v>
      </c>
      <c r="K749" t="s">
        <v>120</v>
      </c>
      <c r="R749" t="s">
        <v>1412</v>
      </c>
      <c r="S749" t="str">
        <f t="shared" si="75"/>
        <v>31</v>
      </c>
      <c r="T749" t="s">
        <v>122</v>
      </c>
      <c r="W749" t="s">
        <v>1413</v>
      </c>
      <c r="Y749">
        <v>37</v>
      </c>
      <c r="Z749" t="s">
        <v>1414</v>
      </c>
      <c r="AB749" t="str">
        <f>"02481680276"</f>
        <v>02481680276</v>
      </c>
      <c r="AC749" t="s">
        <v>116</v>
      </c>
      <c r="AD749" t="s">
        <v>1415</v>
      </c>
      <c r="AF749">
        <v>2022</v>
      </c>
      <c r="AG749">
        <v>4040</v>
      </c>
      <c r="AH749" t="str">
        <f t="shared" si="74"/>
        <v>1</v>
      </c>
      <c r="AI749" t="s">
        <v>1418</v>
      </c>
      <c r="AJ749" s="1">
        <v>44926</v>
      </c>
      <c r="AK749" t="s">
        <v>1413</v>
      </c>
      <c r="AL749" s="2">
        <v>2934.94</v>
      </c>
      <c r="AM749" t="str">
        <f>"8751837121"</f>
        <v>8751837121</v>
      </c>
      <c r="AN749">
        <v>2023</v>
      </c>
      <c r="AO749">
        <v>67</v>
      </c>
      <c r="AP749" s="2">
        <v>2934.94</v>
      </c>
      <c r="AQ749">
        <v>0</v>
      </c>
      <c r="AR749" s="2">
        <v>1111.3</v>
      </c>
      <c r="AS749" t="s">
        <v>177</v>
      </c>
      <c r="AT749">
        <v>2405.69</v>
      </c>
      <c r="AU749">
        <v>529.25</v>
      </c>
      <c r="AV749">
        <v>2023</v>
      </c>
      <c r="AW749">
        <v>188</v>
      </c>
      <c r="AX749">
        <v>670</v>
      </c>
      <c r="AY749">
        <v>0</v>
      </c>
      <c r="AZ749" t="s">
        <v>1417</v>
      </c>
      <c r="BA749">
        <v>2934.94</v>
      </c>
      <c r="BB749" s="1">
        <v>44992</v>
      </c>
    </row>
    <row r="750" spans="1:54" x14ac:dyDescent="0.25">
      <c r="A750">
        <v>2023</v>
      </c>
      <c r="B750">
        <v>371</v>
      </c>
      <c r="C750" s="1">
        <v>44992</v>
      </c>
      <c r="D750">
        <v>2023</v>
      </c>
      <c r="E750">
        <v>2022</v>
      </c>
      <c r="F750">
        <v>195</v>
      </c>
      <c r="H750" t="s">
        <v>1411</v>
      </c>
      <c r="I750">
        <v>120</v>
      </c>
      <c r="J750">
        <v>0</v>
      </c>
      <c r="K750" t="s">
        <v>120</v>
      </c>
      <c r="R750" t="s">
        <v>1412</v>
      </c>
      <c r="S750" t="str">
        <f t="shared" si="75"/>
        <v>31</v>
      </c>
      <c r="T750" t="s">
        <v>122</v>
      </c>
      <c r="W750" t="s">
        <v>1413</v>
      </c>
      <c r="Y750">
        <v>37</v>
      </c>
      <c r="Z750" t="s">
        <v>1414</v>
      </c>
      <c r="AB750" t="str">
        <f>"02481680276"</f>
        <v>02481680276</v>
      </c>
      <c r="AC750" t="s">
        <v>116</v>
      </c>
      <c r="AD750" t="s">
        <v>1415</v>
      </c>
      <c r="AF750">
        <v>2023</v>
      </c>
      <c r="AG750">
        <v>319</v>
      </c>
      <c r="AH750" t="str">
        <f t="shared" si="74"/>
        <v>1</v>
      </c>
      <c r="AI750" t="s">
        <v>1419</v>
      </c>
      <c r="AJ750" s="1">
        <v>44957</v>
      </c>
      <c r="AK750" t="s">
        <v>1413</v>
      </c>
      <c r="AL750" s="2">
        <v>2117.21</v>
      </c>
      <c r="AM750" t="str">
        <f>"8944721818"</f>
        <v>8944721818</v>
      </c>
      <c r="AN750">
        <v>2023</v>
      </c>
      <c r="AO750">
        <v>252</v>
      </c>
      <c r="AP750" s="2">
        <v>2117.21</v>
      </c>
      <c r="AQ750">
        <v>0</v>
      </c>
      <c r="AR750">
        <v>381.79</v>
      </c>
      <c r="AS750" t="s">
        <v>177</v>
      </c>
      <c r="AT750">
        <v>1735.42</v>
      </c>
      <c r="AU750">
        <v>381.79</v>
      </c>
      <c r="AV750">
        <v>2023</v>
      </c>
      <c r="AW750">
        <v>189</v>
      </c>
      <c r="AX750">
        <v>670</v>
      </c>
      <c r="AY750">
        <v>0</v>
      </c>
      <c r="AZ750" t="s">
        <v>1420</v>
      </c>
      <c r="BA750">
        <v>2117.21</v>
      </c>
      <c r="BB750" s="1">
        <v>44992</v>
      </c>
    </row>
    <row r="751" spans="1:54" x14ac:dyDescent="0.25">
      <c r="A751">
        <v>2023</v>
      </c>
      <c r="B751">
        <v>372</v>
      </c>
      <c r="C751" s="1">
        <v>44992</v>
      </c>
      <c r="D751">
        <v>2023</v>
      </c>
      <c r="E751">
        <v>2022</v>
      </c>
      <c r="F751">
        <v>314</v>
      </c>
      <c r="H751" t="s">
        <v>1421</v>
      </c>
      <c r="I751">
        <v>120</v>
      </c>
      <c r="J751">
        <v>0</v>
      </c>
      <c r="K751" t="s">
        <v>120</v>
      </c>
      <c r="R751" t="s">
        <v>1422</v>
      </c>
      <c r="S751" t="str">
        <f t="shared" si="75"/>
        <v>31</v>
      </c>
      <c r="T751" t="s">
        <v>122</v>
      </c>
      <c r="W751" t="s">
        <v>1423</v>
      </c>
      <c r="Y751">
        <v>1588</v>
      </c>
      <c r="Z751" t="s">
        <v>1424</v>
      </c>
      <c r="AB751" t="str">
        <f>"00776590267"</f>
        <v>00776590267</v>
      </c>
      <c r="AC751" t="s">
        <v>116</v>
      </c>
      <c r="AD751" t="s">
        <v>1425</v>
      </c>
      <c r="AF751">
        <v>2022</v>
      </c>
      <c r="AG751">
        <v>3711</v>
      </c>
      <c r="AH751" t="str">
        <f t="shared" si="74"/>
        <v>1</v>
      </c>
      <c r="AI751" t="s">
        <v>1426</v>
      </c>
      <c r="AJ751" s="1">
        <v>44895</v>
      </c>
      <c r="AK751" t="s">
        <v>1423</v>
      </c>
      <c r="AL751">
        <v>55.13</v>
      </c>
      <c r="AM751" t="str">
        <f>"8575311605"</f>
        <v>8575311605</v>
      </c>
      <c r="AN751">
        <v>2023</v>
      </c>
      <c r="AO751">
        <v>79</v>
      </c>
      <c r="AP751">
        <v>55.13</v>
      </c>
      <c r="AQ751">
        <v>0</v>
      </c>
      <c r="AR751">
        <v>9.94</v>
      </c>
      <c r="AS751" t="s">
        <v>177</v>
      </c>
      <c r="AT751">
        <v>45.19</v>
      </c>
      <c r="AU751">
        <v>9.94</v>
      </c>
      <c r="AV751">
        <v>2023</v>
      </c>
      <c r="AW751">
        <v>190</v>
      </c>
      <c r="AX751">
        <v>670</v>
      </c>
      <c r="AY751">
        <v>0</v>
      </c>
      <c r="AZ751" t="s">
        <v>1427</v>
      </c>
      <c r="BA751">
        <v>55.13</v>
      </c>
      <c r="BB751" s="1">
        <v>44992</v>
      </c>
    </row>
    <row r="752" spans="1:54" x14ac:dyDescent="0.25">
      <c r="A752">
        <v>2023</v>
      </c>
      <c r="B752">
        <v>373</v>
      </c>
      <c r="C752" s="1">
        <v>44992</v>
      </c>
      <c r="D752">
        <v>2023</v>
      </c>
      <c r="E752">
        <v>2022</v>
      </c>
      <c r="F752">
        <v>672</v>
      </c>
      <c r="H752" t="s">
        <v>1428</v>
      </c>
      <c r="I752">
        <v>120</v>
      </c>
      <c r="J752">
        <v>0</v>
      </c>
      <c r="K752" t="s">
        <v>120</v>
      </c>
      <c r="R752" t="s">
        <v>1429</v>
      </c>
      <c r="S752" t="str">
        <f t="shared" si="75"/>
        <v>31</v>
      </c>
      <c r="T752" t="s">
        <v>122</v>
      </c>
      <c r="W752" t="s">
        <v>1430</v>
      </c>
      <c r="Y752">
        <v>4236</v>
      </c>
      <c r="Z752" t="s">
        <v>1431</v>
      </c>
      <c r="AB752" t="str">
        <f>"04633880275"</f>
        <v>04633880275</v>
      </c>
      <c r="AC752" t="s">
        <v>116</v>
      </c>
      <c r="AD752" t="s">
        <v>1432</v>
      </c>
      <c r="AF752">
        <v>2023</v>
      </c>
      <c r="AG752">
        <v>19</v>
      </c>
      <c r="AH752" t="str">
        <f t="shared" si="74"/>
        <v>1</v>
      </c>
      <c r="AI752" t="s">
        <v>1433</v>
      </c>
      <c r="AJ752" s="1">
        <v>44926</v>
      </c>
      <c r="AK752" t="s">
        <v>1430</v>
      </c>
      <c r="AL752">
        <v>77.739999999999995</v>
      </c>
      <c r="AM752" t="str">
        <f>"8760139853"</f>
        <v>8760139853</v>
      </c>
      <c r="AN752">
        <v>2023</v>
      </c>
      <c r="AO752">
        <v>185</v>
      </c>
      <c r="AP752">
        <v>77.739999999999995</v>
      </c>
      <c r="AQ752">
        <v>0</v>
      </c>
      <c r="AR752">
        <v>14.02</v>
      </c>
      <c r="AS752" t="s">
        <v>177</v>
      </c>
      <c r="AT752">
        <v>63.72</v>
      </c>
      <c r="AU752">
        <v>14.02</v>
      </c>
      <c r="AV752">
        <v>2023</v>
      </c>
      <c r="AW752">
        <v>191</v>
      </c>
      <c r="AX752">
        <v>670</v>
      </c>
      <c r="AY752">
        <v>0</v>
      </c>
      <c r="AZ752" t="s">
        <v>1434</v>
      </c>
      <c r="BA752">
        <v>77.739999999999995</v>
      </c>
      <c r="BB752" s="1">
        <v>44992</v>
      </c>
    </row>
    <row r="753" spans="1:54" x14ac:dyDescent="0.25">
      <c r="A753">
        <v>2023</v>
      </c>
      <c r="B753">
        <v>374</v>
      </c>
      <c r="C753" s="1">
        <v>44992</v>
      </c>
      <c r="D753">
        <v>2023</v>
      </c>
      <c r="E753">
        <v>2022</v>
      </c>
      <c r="F753">
        <v>85</v>
      </c>
      <c r="H753" t="s">
        <v>1435</v>
      </c>
      <c r="I753">
        <v>120</v>
      </c>
      <c r="J753">
        <v>0</v>
      </c>
      <c r="K753" t="s">
        <v>120</v>
      </c>
      <c r="R753" t="s">
        <v>1436</v>
      </c>
      <c r="S753" t="str">
        <f t="shared" si="75"/>
        <v>31</v>
      </c>
      <c r="T753" t="s">
        <v>122</v>
      </c>
      <c r="W753" t="s">
        <v>1437</v>
      </c>
      <c r="Y753">
        <v>2265</v>
      </c>
      <c r="Z753" t="s">
        <v>1438</v>
      </c>
      <c r="AB753" t="str">
        <f>"02405780277"</f>
        <v>02405780277</v>
      </c>
      <c r="AC753" t="s">
        <v>116</v>
      </c>
      <c r="AD753" t="s">
        <v>1439</v>
      </c>
      <c r="AF753">
        <v>2023</v>
      </c>
      <c r="AG753">
        <v>2</v>
      </c>
      <c r="AH753" t="str">
        <f t="shared" si="74"/>
        <v>1</v>
      </c>
      <c r="AI753" t="s">
        <v>1440</v>
      </c>
      <c r="AJ753" s="1">
        <v>44926</v>
      </c>
      <c r="AK753" t="s">
        <v>1437</v>
      </c>
      <c r="AL753" s="2">
        <v>9499.75</v>
      </c>
      <c r="AM753" t="str">
        <f>"8776273327"</f>
        <v>8776273327</v>
      </c>
      <c r="AN753">
        <v>2023</v>
      </c>
      <c r="AO753">
        <v>184</v>
      </c>
      <c r="AP753" s="2">
        <v>9499.75</v>
      </c>
      <c r="AQ753">
        <v>0</v>
      </c>
      <c r="AR753" s="2">
        <v>3358.71</v>
      </c>
      <c r="AS753" t="s">
        <v>177</v>
      </c>
      <c r="AT753">
        <v>7786.68</v>
      </c>
      <c r="AU753">
        <v>1713.07</v>
      </c>
      <c r="AV753">
        <v>2023</v>
      </c>
      <c r="AW753">
        <v>192</v>
      </c>
      <c r="AX753">
        <v>670</v>
      </c>
      <c r="AY753">
        <v>0</v>
      </c>
      <c r="AZ753" t="s">
        <v>1441</v>
      </c>
      <c r="BA753">
        <v>9499.75</v>
      </c>
      <c r="BB753" s="1">
        <v>44992</v>
      </c>
    </row>
    <row r="754" spans="1:54" x14ac:dyDescent="0.25">
      <c r="A754">
        <v>2023</v>
      </c>
      <c r="B754">
        <v>374</v>
      </c>
      <c r="C754" s="1">
        <v>44992</v>
      </c>
      <c r="D754">
        <v>2023</v>
      </c>
      <c r="E754">
        <v>2022</v>
      </c>
      <c r="F754">
        <v>85</v>
      </c>
      <c r="H754" t="s">
        <v>1435</v>
      </c>
      <c r="I754">
        <v>120</v>
      </c>
      <c r="J754">
        <v>0</v>
      </c>
      <c r="K754" t="s">
        <v>120</v>
      </c>
      <c r="R754" t="s">
        <v>1436</v>
      </c>
      <c r="S754" t="str">
        <f t="shared" si="75"/>
        <v>31</v>
      </c>
      <c r="T754" t="s">
        <v>122</v>
      </c>
      <c r="W754" t="s">
        <v>1437</v>
      </c>
      <c r="Y754">
        <v>2265</v>
      </c>
      <c r="Z754" t="s">
        <v>1438</v>
      </c>
      <c r="AB754" t="str">
        <f>"02405780277"</f>
        <v>02405780277</v>
      </c>
      <c r="AC754" t="s">
        <v>116</v>
      </c>
      <c r="AD754" t="s">
        <v>1439</v>
      </c>
      <c r="AF754">
        <v>2023</v>
      </c>
      <c r="AG754">
        <v>322</v>
      </c>
      <c r="AH754" t="str">
        <f t="shared" si="74"/>
        <v>1</v>
      </c>
      <c r="AI754" t="s">
        <v>1442</v>
      </c>
      <c r="AJ754" s="1">
        <v>44957</v>
      </c>
      <c r="AK754" t="s">
        <v>1437</v>
      </c>
      <c r="AL754" s="2">
        <v>9125.84</v>
      </c>
      <c r="AM754" t="str">
        <f>"8947669846"</f>
        <v>8947669846</v>
      </c>
      <c r="AN754">
        <v>2023</v>
      </c>
      <c r="AO754">
        <v>184</v>
      </c>
      <c r="AP754" s="2">
        <v>9125.84</v>
      </c>
      <c r="AQ754">
        <v>0</v>
      </c>
      <c r="AR754" s="2">
        <v>3358.71</v>
      </c>
      <c r="AS754" t="s">
        <v>177</v>
      </c>
      <c r="AT754">
        <v>7480.2</v>
      </c>
      <c r="AU754">
        <v>1645.64</v>
      </c>
      <c r="AV754">
        <v>2023</v>
      </c>
      <c r="AW754">
        <v>192</v>
      </c>
      <c r="AX754">
        <v>670</v>
      </c>
      <c r="AY754">
        <v>0</v>
      </c>
      <c r="AZ754" t="s">
        <v>1441</v>
      </c>
      <c r="BA754">
        <v>9125.84</v>
      </c>
      <c r="BB754" s="1">
        <v>44992</v>
      </c>
    </row>
    <row r="755" spans="1:54" x14ac:dyDescent="0.25">
      <c r="A755">
        <v>2023</v>
      </c>
      <c r="B755">
        <v>375</v>
      </c>
      <c r="C755" s="1">
        <v>44992</v>
      </c>
      <c r="D755">
        <v>2023</v>
      </c>
      <c r="E755">
        <v>2022</v>
      </c>
      <c r="F755">
        <v>57</v>
      </c>
      <c r="H755" t="s">
        <v>1443</v>
      </c>
      <c r="I755">
        <v>265</v>
      </c>
      <c r="J755">
        <v>0</v>
      </c>
      <c r="K755" t="s">
        <v>325</v>
      </c>
      <c r="R755" t="s">
        <v>1444</v>
      </c>
      <c r="S755" t="str">
        <f t="shared" si="75"/>
        <v>31</v>
      </c>
      <c r="T755" t="s">
        <v>122</v>
      </c>
      <c r="W755" t="s">
        <v>1445</v>
      </c>
      <c r="Y755">
        <v>2887</v>
      </c>
      <c r="Z755" t="s">
        <v>1446</v>
      </c>
      <c r="AB755" t="str">
        <f>"02263580272"</f>
        <v>02263580272</v>
      </c>
      <c r="AC755" t="s">
        <v>116</v>
      </c>
      <c r="AD755" t="s">
        <v>1447</v>
      </c>
      <c r="AF755">
        <v>2022</v>
      </c>
      <c r="AG755">
        <v>3708</v>
      </c>
      <c r="AH755" t="str">
        <f t="shared" si="74"/>
        <v>1</v>
      </c>
      <c r="AI755" t="str">
        <f>"000886"</f>
        <v>000886</v>
      </c>
      <c r="AJ755" s="1">
        <v>44894</v>
      </c>
      <c r="AK755" t="s">
        <v>1445</v>
      </c>
      <c r="AL755">
        <v>762.5</v>
      </c>
      <c r="AM755" t="str">
        <f>"8555884996"</f>
        <v>8555884996</v>
      </c>
      <c r="AN755">
        <v>2023</v>
      </c>
      <c r="AO755">
        <v>78</v>
      </c>
      <c r="AP755">
        <v>762.5</v>
      </c>
      <c r="AQ755">
        <v>0</v>
      </c>
      <c r="AR755">
        <v>137.5</v>
      </c>
      <c r="AS755" t="s">
        <v>177</v>
      </c>
      <c r="AT755">
        <v>625</v>
      </c>
      <c r="AU755">
        <v>137.5</v>
      </c>
      <c r="AV755">
        <v>2023</v>
      </c>
      <c r="AW755">
        <v>193</v>
      </c>
      <c r="AX755">
        <v>670</v>
      </c>
      <c r="AY755">
        <v>0</v>
      </c>
      <c r="AZ755" t="s">
        <v>1448</v>
      </c>
      <c r="BA755">
        <v>762.5</v>
      </c>
      <c r="BB755" s="1">
        <v>44992</v>
      </c>
    </row>
    <row r="756" spans="1:54" x14ac:dyDescent="0.25">
      <c r="A756">
        <v>2023</v>
      </c>
      <c r="B756">
        <v>376</v>
      </c>
      <c r="C756" s="1">
        <v>44992</v>
      </c>
      <c r="D756">
        <v>2023</v>
      </c>
      <c r="E756">
        <v>2022</v>
      </c>
      <c r="F756">
        <v>655</v>
      </c>
      <c r="H756" t="s">
        <v>1449</v>
      </c>
      <c r="I756">
        <v>120</v>
      </c>
      <c r="J756">
        <v>0</v>
      </c>
      <c r="K756" t="s">
        <v>120</v>
      </c>
      <c r="R756" t="s">
        <v>1450</v>
      </c>
      <c r="S756" t="str">
        <f t="shared" si="75"/>
        <v>31</v>
      </c>
      <c r="T756" t="s">
        <v>122</v>
      </c>
      <c r="W756" t="s">
        <v>1451</v>
      </c>
      <c r="Y756">
        <v>3276</v>
      </c>
      <c r="Z756" t="s">
        <v>1452</v>
      </c>
      <c r="AB756" t="str">
        <f>"03211360262"</f>
        <v>03211360262</v>
      </c>
      <c r="AC756" t="s">
        <v>116</v>
      </c>
      <c r="AD756" t="s">
        <v>1453</v>
      </c>
      <c r="AF756">
        <v>2022</v>
      </c>
      <c r="AG756">
        <v>4034</v>
      </c>
      <c r="AH756" t="str">
        <f t="shared" si="74"/>
        <v>1</v>
      </c>
      <c r="AI756" t="str">
        <f>"2057"</f>
        <v>2057</v>
      </c>
      <c r="AJ756" s="1">
        <v>44924</v>
      </c>
      <c r="AK756" t="s">
        <v>1451</v>
      </c>
      <c r="AL756">
        <v>157.13999999999999</v>
      </c>
      <c r="AM756" t="str">
        <f>"8736172492"</f>
        <v>8736172492</v>
      </c>
      <c r="AN756">
        <v>2023</v>
      </c>
      <c r="AO756">
        <v>180</v>
      </c>
      <c r="AP756">
        <v>157.13999999999999</v>
      </c>
      <c r="AQ756">
        <v>0</v>
      </c>
      <c r="AR756">
        <v>28.34</v>
      </c>
      <c r="AS756" t="s">
        <v>177</v>
      </c>
      <c r="AT756">
        <v>128.80000000000001</v>
      </c>
      <c r="AU756">
        <v>28.34</v>
      </c>
      <c r="AV756">
        <v>2023</v>
      </c>
      <c r="AW756">
        <v>194</v>
      </c>
      <c r="AX756">
        <v>670</v>
      </c>
      <c r="AY756">
        <v>0</v>
      </c>
      <c r="AZ756" t="s">
        <v>1454</v>
      </c>
      <c r="BA756">
        <v>157.13999999999999</v>
      </c>
      <c r="BB756" s="1">
        <v>44992</v>
      </c>
    </row>
    <row r="757" spans="1:54" x14ac:dyDescent="0.25">
      <c r="A757">
        <v>2023</v>
      </c>
      <c r="B757">
        <v>377</v>
      </c>
      <c r="C757" s="1">
        <v>44993</v>
      </c>
      <c r="D757">
        <v>2023</v>
      </c>
      <c r="E757">
        <v>2020</v>
      </c>
      <c r="F757">
        <v>511</v>
      </c>
      <c r="H757" t="s">
        <v>1455</v>
      </c>
      <c r="I757">
        <v>200</v>
      </c>
      <c r="J757">
        <v>0</v>
      </c>
      <c r="K757" t="s">
        <v>293</v>
      </c>
      <c r="R757" t="s">
        <v>1456</v>
      </c>
      <c r="W757" t="s">
        <v>1457</v>
      </c>
      <c r="Y757">
        <v>3302</v>
      </c>
      <c r="Z757" t="s">
        <v>1458</v>
      </c>
      <c r="AA757" t="s">
        <v>1459</v>
      </c>
      <c r="AB757" t="s">
        <v>1460</v>
      </c>
      <c r="AC757" t="s">
        <v>116</v>
      </c>
      <c r="AD757" t="s">
        <v>1461</v>
      </c>
      <c r="AF757">
        <v>2023</v>
      </c>
      <c r="AG757">
        <v>581</v>
      </c>
      <c r="AH757" t="str">
        <f t="shared" si="74"/>
        <v>1</v>
      </c>
      <c r="AI757" t="s">
        <v>1462</v>
      </c>
      <c r="AJ757" s="1">
        <v>44956</v>
      </c>
      <c r="AK757" t="s">
        <v>1457</v>
      </c>
      <c r="AL757" s="2">
        <v>2652.41</v>
      </c>
      <c r="AN757">
        <v>2023</v>
      </c>
      <c r="AO757">
        <v>281</v>
      </c>
      <c r="AP757" s="2">
        <v>2652.41</v>
      </c>
      <c r="AQ757">
        <v>0</v>
      </c>
      <c r="AR757">
        <v>418.1</v>
      </c>
      <c r="AS757" t="str">
        <f>"1040"</f>
        <v>1040</v>
      </c>
      <c r="AT757">
        <v>2090.4899999999998</v>
      </c>
      <c r="AU757">
        <v>418.1</v>
      </c>
      <c r="AV757">
        <v>2023</v>
      </c>
      <c r="AW757">
        <v>195</v>
      </c>
      <c r="AX757">
        <v>620</v>
      </c>
      <c r="AY757">
        <v>0</v>
      </c>
      <c r="AZ757" t="s">
        <v>1463</v>
      </c>
      <c r="BA757">
        <v>2652.41</v>
      </c>
      <c r="BB757" s="1">
        <v>44993</v>
      </c>
    </row>
    <row r="758" spans="1:54" x14ac:dyDescent="0.25">
      <c r="A758">
        <v>2023</v>
      </c>
      <c r="B758">
        <v>378</v>
      </c>
      <c r="C758" s="1">
        <v>44993</v>
      </c>
      <c r="D758">
        <v>2023</v>
      </c>
      <c r="E758">
        <v>2020</v>
      </c>
      <c r="F758">
        <v>511</v>
      </c>
      <c r="H758" t="s">
        <v>1455</v>
      </c>
      <c r="I758">
        <v>200</v>
      </c>
      <c r="J758">
        <v>0</v>
      </c>
      <c r="K758" t="s">
        <v>293</v>
      </c>
      <c r="R758" t="s">
        <v>1456</v>
      </c>
      <c r="W758" t="s">
        <v>1464</v>
      </c>
      <c r="Y758">
        <v>4200</v>
      </c>
      <c r="Z758" t="s">
        <v>1465</v>
      </c>
      <c r="AA758" t="s">
        <v>1466</v>
      </c>
      <c r="AB758" t="s">
        <v>1467</v>
      </c>
      <c r="AC758" t="s">
        <v>116</v>
      </c>
      <c r="AD758" t="s">
        <v>1468</v>
      </c>
      <c r="AF758">
        <v>2023</v>
      </c>
      <c r="AG758">
        <v>306</v>
      </c>
      <c r="AH758" t="str">
        <f t="shared" si="74"/>
        <v>1</v>
      </c>
      <c r="AI758" t="str">
        <f>"7"</f>
        <v>7</v>
      </c>
      <c r="AJ758" s="1">
        <v>44957</v>
      </c>
      <c r="AK758" t="s">
        <v>1464</v>
      </c>
      <c r="AL758" s="2">
        <v>1366.4</v>
      </c>
      <c r="AM758" t="str">
        <f>"8932854476"</f>
        <v>8932854476</v>
      </c>
      <c r="AN758">
        <v>2023</v>
      </c>
      <c r="AO758">
        <v>282</v>
      </c>
      <c r="AP758" s="2">
        <v>1366.4</v>
      </c>
      <c r="AQ758">
        <v>0</v>
      </c>
      <c r="AR758">
        <v>215.38</v>
      </c>
      <c r="AS758" t="str">
        <f>"1040"</f>
        <v>1040</v>
      </c>
      <c r="AT758">
        <v>1076.92</v>
      </c>
      <c r="AU758">
        <v>215.38</v>
      </c>
      <c r="AV758">
        <v>2023</v>
      </c>
      <c r="AW758">
        <v>196</v>
      </c>
      <c r="AX758">
        <v>620</v>
      </c>
      <c r="AY758">
        <v>0</v>
      </c>
      <c r="AZ758" t="s">
        <v>1469</v>
      </c>
      <c r="BA758">
        <v>1366.4</v>
      </c>
      <c r="BB758" s="1">
        <v>44993</v>
      </c>
    </row>
    <row r="759" spans="1:54" x14ac:dyDescent="0.25">
      <c r="A759">
        <v>2023</v>
      </c>
      <c r="B759">
        <v>379</v>
      </c>
      <c r="C759" s="1">
        <v>44993</v>
      </c>
      <c r="D759">
        <v>2023</v>
      </c>
      <c r="E759">
        <v>2021</v>
      </c>
      <c r="F759">
        <v>641</v>
      </c>
      <c r="H759" t="s">
        <v>1470</v>
      </c>
      <c r="I759">
        <v>200</v>
      </c>
      <c r="J759">
        <v>0</v>
      </c>
      <c r="K759" t="s">
        <v>293</v>
      </c>
      <c r="R759" t="s">
        <v>1471</v>
      </c>
      <c r="S759" t="str">
        <f>"31"</f>
        <v>31</v>
      </c>
      <c r="T759" t="s">
        <v>122</v>
      </c>
      <c r="W759" t="s">
        <v>1472</v>
      </c>
      <c r="Y759">
        <v>3302</v>
      </c>
      <c r="Z759" t="s">
        <v>1458</v>
      </c>
      <c r="AA759" t="s">
        <v>1459</v>
      </c>
      <c r="AB759" t="s">
        <v>1460</v>
      </c>
      <c r="AC759" t="s">
        <v>116</v>
      </c>
      <c r="AD759" t="s">
        <v>1461</v>
      </c>
      <c r="AF759">
        <v>2023</v>
      </c>
      <c r="AG759">
        <v>582</v>
      </c>
      <c r="AH759" t="str">
        <f t="shared" si="74"/>
        <v>1</v>
      </c>
      <c r="AI759" t="s">
        <v>1462</v>
      </c>
      <c r="AJ759" s="1">
        <v>44956</v>
      </c>
      <c r="AK759" t="s">
        <v>1472</v>
      </c>
      <c r="AL759" s="2">
        <v>5561.05</v>
      </c>
      <c r="AN759">
        <v>2023</v>
      </c>
      <c r="AO759">
        <v>283</v>
      </c>
      <c r="AP759" s="2">
        <v>5561.05</v>
      </c>
      <c r="AQ759">
        <v>0</v>
      </c>
      <c r="AR759">
        <v>876.58</v>
      </c>
      <c r="AS759" t="str">
        <f>"1040"</f>
        <v>1040</v>
      </c>
      <c r="AT759">
        <v>4382.92</v>
      </c>
      <c r="AU759">
        <v>876.58</v>
      </c>
      <c r="AV759">
        <v>2023</v>
      </c>
      <c r="AW759">
        <v>197</v>
      </c>
      <c r="AX759">
        <v>620</v>
      </c>
      <c r="AY759">
        <v>0</v>
      </c>
      <c r="AZ759" t="s">
        <v>1473</v>
      </c>
      <c r="BA759">
        <v>5561.05</v>
      </c>
      <c r="BB759" s="1">
        <v>44993</v>
      </c>
    </row>
    <row r="760" spans="1:54" x14ac:dyDescent="0.25">
      <c r="A760">
        <v>2023</v>
      </c>
      <c r="B760">
        <v>380</v>
      </c>
      <c r="C760" s="1">
        <v>44993</v>
      </c>
      <c r="D760">
        <v>2023</v>
      </c>
      <c r="E760">
        <v>2021</v>
      </c>
      <c r="F760">
        <v>641</v>
      </c>
      <c r="H760" t="s">
        <v>1470</v>
      </c>
      <c r="I760">
        <v>200</v>
      </c>
      <c r="J760">
        <v>0</v>
      </c>
      <c r="K760" t="s">
        <v>293</v>
      </c>
      <c r="R760" t="s">
        <v>1471</v>
      </c>
      <c r="S760" t="str">
        <f>"31"</f>
        <v>31</v>
      </c>
      <c r="T760" t="s">
        <v>122</v>
      </c>
      <c r="W760" t="s">
        <v>1474</v>
      </c>
      <c r="Y760">
        <v>4200</v>
      </c>
      <c r="Z760" t="s">
        <v>1465</v>
      </c>
      <c r="AA760" t="s">
        <v>1466</v>
      </c>
      <c r="AB760" t="s">
        <v>1467</v>
      </c>
      <c r="AC760" t="s">
        <v>116</v>
      </c>
      <c r="AD760" t="s">
        <v>1468</v>
      </c>
      <c r="AF760">
        <v>2023</v>
      </c>
      <c r="AG760">
        <v>305</v>
      </c>
      <c r="AH760" t="str">
        <f t="shared" si="74"/>
        <v>1</v>
      </c>
      <c r="AI760" t="str">
        <f>"6"</f>
        <v>6</v>
      </c>
      <c r="AJ760" s="1">
        <v>44957</v>
      </c>
      <c r="AK760" t="s">
        <v>1474</v>
      </c>
      <c r="AL760" s="2">
        <v>2864.78</v>
      </c>
      <c r="AM760" t="str">
        <f>"8932737551"</f>
        <v>8932737551</v>
      </c>
      <c r="AN760">
        <v>2023</v>
      </c>
      <c r="AO760">
        <v>284</v>
      </c>
      <c r="AP760" s="2">
        <v>2864.78</v>
      </c>
      <c r="AQ760">
        <v>0</v>
      </c>
      <c r="AR760">
        <v>451.57</v>
      </c>
      <c r="AS760" t="str">
        <f>"1040"</f>
        <v>1040</v>
      </c>
      <c r="AT760">
        <v>2257.87</v>
      </c>
      <c r="AU760">
        <v>451.57</v>
      </c>
      <c r="AV760">
        <v>2023</v>
      </c>
      <c r="AW760">
        <v>198</v>
      </c>
      <c r="AX760">
        <v>620</v>
      </c>
      <c r="AY760">
        <v>0</v>
      </c>
      <c r="AZ760" t="s">
        <v>1475</v>
      </c>
      <c r="BA760">
        <v>2864.78</v>
      </c>
      <c r="BB760" s="1">
        <v>44993</v>
      </c>
    </row>
    <row r="761" spans="1:54" x14ac:dyDescent="0.25">
      <c r="A761">
        <v>2023</v>
      </c>
      <c r="B761">
        <v>381</v>
      </c>
      <c r="C761" s="1">
        <v>44994</v>
      </c>
      <c r="D761">
        <v>2023</v>
      </c>
      <c r="E761">
        <v>2020</v>
      </c>
      <c r="F761">
        <v>706</v>
      </c>
      <c r="G761" t="str">
        <f>"100"</f>
        <v>100</v>
      </c>
      <c r="H761" t="s">
        <v>1476</v>
      </c>
      <c r="I761">
        <v>200</v>
      </c>
      <c r="J761">
        <v>0</v>
      </c>
      <c r="K761" t="s">
        <v>293</v>
      </c>
      <c r="R761" t="str">
        <f>"8409841456"</f>
        <v>8409841456</v>
      </c>
      <c r="S761" t="str">
        <f>"31"</f>
        <v>31</v>
      </c>
      <c r="T761" t="s">
        <v>122</v>
      </c>
      <c r="W761" t="s">
        <v>1477</v>
      </c>
      <c r="Y761">
        <v>4247</v>
      </c>
      <c r="Z761" t="s">
        <v>1478</v>
      </c>
      <c r="AB761" t="str">
        <f>"00647840222"</f>
        <v>00647840222</v>
      </c>
      <c r="AC761" t="s">
        <v>116</v>
      </c>
      <c r="AD761" t="s">
        <v>1479</v>
      </c>
      <c r="AF761">
        <v>2022</v>
      </c>
      <c r="AG761">
        <v>3983</v>
      </c>
      <c r="AH761" t="str">
        <f t="shared" si="74"/>
        <v>1</v>
      </c>
      <c r="AI761" t="str">
        <f>"58"</f>
        <v>58</v>
      </c>
      <c r="AJ761" s="1">
        <v>44914</v>
      </c>
      <c r="AK761" t="s">
        <v>1480</v>
      </c>
      <c r="AL761" s="2">
        <v>8789.7900000000009</v>
      </c>
      <c r="AM761" t="str">
        <f>"8669249860"</f>
        <v>8669249860</v>
      </c>
      <c r="AN761">
        <v>2023</v>
      </c>
      <c r="AO761">
        <v>264</v>
      </c>
      <c r="AP761" s="2">
        <v>8789.7900000000009</v>
      </c>
      <c r="AQ761">
        <v>0</v>
      </c>
      <c r="AR761" s="2">
        <v>1585.05</v>
      </c>
      <c r="AS761" t="s">
        <v>177</v>
      </c>
      <c r="AT761">
        <v>7204.75</v>
      </c>
      <c r="AU761">
        <v>1585.05</v>
      </c>
      <c r="AV761">
        <v>2023</v>
      </c>
      <c r="AW761">
        <v>199</v>
      </c>
      <c r="AX761">
        <v>670</v>
      </c>
      <c r="AY761">
        <v>0</v>
      </c>
      <c r="AZ761" t="s">
        <v>1481</v>
      </c>
      <c r="BA761">
        <v>8789.7900000000009</v>
      </c>
      <c r="BB761" s="1">
        <v>44993</v>
      </c>
    </row>
    <row r="762" spans="1:54" x14ac:dyDescent="0.25">
      <c r="A762">
        <v>2023</v>
      </c>
      <c r="B762">
        <v>382</v>
      </c>
      <c r="C762" s="1">
        <v>44994</v>
      </c>
      <c r="D762">
        <v>2023</v>
      </c>
      <c r="E762">
        <v>2020</v>
      </c>
      <c r="F762">
        <v>706</v>
      </c>
      <c r="G762" t="str">
        <f>"100"</f>
        <v>100</v>
      </c>
      <c r="H762" t="s">
        <v>1476</v>
      </c>
      <c r="I762">
        <v>200</v>
      </c>
      <c r="J762">
        <v>0</v>
      </c>
      <c r="K762" t="s">
        <v>293</v>
      </c>
      <c r="R762" t="s">
        <v>1482</v>
      </c>
      <c r="S762" t="str">
        <f>"31"</f>
        <v>31</v>
      </c>
      <c r="T762" t="s">
        <v>122</v>
      </c>
      <c r="W762" t="s">
        <v>1483</v>
      </c>
      <c r="Y762">
        <v>1912</v>
      </c>
      <c r="Z762" t="s">
        <v>1484</v>
      </c>
      <c r="AB762" t="str">
        <f>"02044420277"</f>
        <v>02044420277</v>
      </c>
      <c r="AC762" t="s">
        <v>116</v>
      </c>
      <c r="AD762" t="s">
        <v>1485</v>
      </c>
      <c r="AF762">
        <v>2022</v>
      </c>
      <c r="AG762">
        <v>3330</v>
      </c>
      <c r="AH762" t="str">
        <f t="shared" si="74"/>
        <v>1</v>
      </c>
      <c r="AI762" t="str">
        <f>"79"</f>
        <v>79</v>
      </c>
      <c r="AJ762" s="1">
        <v>44865</v>
      </c>
      <c r="AK762" t="s">
        <v>1483</v>
      </c>
      <c r="AL762" s="2">
        <v>11400.9</v>
      </c>
      <c r="AM762" t="str">
        <f>"8341154021"</f>
        <v>8341154021</v>
      </c>
      <c r="AN762">
        <v>2023</v>
      </c>
      <c r="AO762">
        <v>265</v>
      </c>
      <c r="AP762" s="2">
        <v>11400.9</v>
      </c>
      <c r="AQ762">
        <v>0</v>
      </c>
      <c r="AR762" s="2">
        <v>2055.9</v>
      </c>
      <c r="AS762" t="s">
        <v>177</v>
      </c>
      <c r="AT762">
        <v>9345</v>
      </c>
      <c r="AU762">
        <v>2055.9</v>
      </c>
      <c r="AV762">
        <v>2023</v>
      </c>
      <c r="AW762">
        <v>200</v>
      </c>
      <c r="AX762">
        <v>670</v>
      </c>
      <c r="AY762">
        <v>0</v>
      </c>
      <c r="AZ762" t="s">
        <v>1486</v>
      </c>
      <c r="BA762">
        <v>11400.9</v>
      </c>
      <c r="BB762" s="1">
        <v>44993</v>
      </c>
    </row>
    <row r="763" spans="1:54" x14ac:dyDescent="0.25">
      <c r="A763">
        <v>2023</v>
      </c>
      <c r="B763">
        <v>383</v>
      </c>
      <c r="C763" s="1">
        <v>44994</v>
      </c>
      <c r="D763">
        <v>2023</v>
      </c>
      <c r="E763">
        <v>2020</v>
      </c>
      <c r="F763">
        <v>706</v>
      </c>
      <c r="G763" t="str">
        <f>"100"</f>
        <v>100</v>
      </c>
      <c r="H763" t="s">
        <v>1476</v>
      </c>
      <c r="I763">
        <v>200</v>
      </c>
      <c r="J763">
        <v>0</v>
      </c>
      <c r="K763" t="s">
        <v>293</v>
      </c>
      <c r="R763" t="s">
        <v>1487</v>
      </c>
      <c r="S763" t="str">
        <f>"31"</f>
        <v>31</v>
      </c>
      <c r="T763" t="s">
        <v>122</v>
      </c>
      <c r="W763" t="s">
        <v>1488</v>
      </c>
      <c r="Y763">
        <v>158</v>
      </c>
      <c r="Z763" t="s">
        <v>1489</v>
      </c>
      <c r="AB763" t="str">
        <f>"00170710271"</f>
        <v>00170710271</v>
      </c>
      <c r="AC763" t="s">
        <v>116</v>
      </c>
      <c r="AD763" t="s">
        <v>1490</v>
      </c>
      <c r="AF763">
        <v>2023</v>
      </c>
      <c r="AG763">
        <v>344</v>
      </c>
      <c r="AH763" t="str">
        <f t="shared" si="74"/>
        <v>1</v>
      </c>
      <c r="AI763" t="str">
        <f>"000017"</f>
        <v>000017</v>
      </c>
      <c r="AJ763" s="1">
        <v>44957</v>
      </c>
      <c r="AK763" t="s">
        <v>1488</v>
      </c>
      <c r="AL763" s="2">
        <v>88768.42</v>
      </c>
      <c r="AM763" t="str">
        <f>"8986049874"</f>
        <v>8986049874</v>
      </c>
      <c r="AN763">
        <v>2023</v>
      </c>
      <c r="AO763">
        <v>280</v>
      </c>
      <c r="AP763" s="2">
        <v>88768.42</v>
      </c>
      <c r="AQ763">
        <v>0</v>
      </c>
      <c r="AR763" s="2">
        <v>16007.42</v>
      </c>
      <c r="AS763" t="s">
        <v>177</v>
      </c>
      <c r="AT763">
        <v>72761</v>
      </c>
      <c r="AU763">
        <v>16007.42</v>
      </c>
      <c r="AV763">
        <v>2023</v>
      </c>
      <c r="AW763">
        <v>201</v>
      </c>
      <c r="AX763">
        <v>670</v>
      </c>
      <c r="AY763">
        <v>0</v>
      </c>
      <c r="AZ763" t="s">
        <v>1491</v>
      </c>
      <c r="BA763">
        <v>88768.42</v>
      </c>
      <c r="BB763" s="1">
        <v>44994</v>
      </c>
    </row>
    <row r="764" spans="1:54" x14ac:dyDescent="0.25">
      <c r="A764">
        <v>2023</v>
      </c>
      <c r="B764">
        <v>384</v>
      </c>
      <c r="C764" s="1">
        <v>44994</v>
      </c>
      <c r="D764">
        <v>2023</v>
      </c>
      <c r="E764">
        <v>2022</v>
      </c>
      <c r="F764">
        <v>428</v>
      </c>
      <c r="H764" t="s">
        <v>1492</v>
      </c>
      <c r="I764">
        <v>149</v>
      </c>
      <c r="J764">
        <v>0</v>
      </c>
      <c r="K764" t="s">
        <v>277</v>
      </c>
      <c r="R764" t="s">
        <v>1493</v>
      </c>
      <c r="S764" t="str">
        <f>"30"</f>
        <v>30</v>
      </c>
      <c r="T764" t="s">
        <v>78</v>
      </c>
      <c r="W764" t="s">
        <v>1494</v>
      </c>
      <c r="Y764">
        <v>1647</v>
      </c>
      <c r="Z764" t="s">
        <v>1495</v>
      </c>
      <c r="AB764" t="str">
        <f>"02014380279"</f>
        <v>02014380279</v>
      </c>
      <c r="AC764" t="s">
        <v>116</v>
      </c>
      <c r="AD764" t="s">
        <v>1496</v>
      </c>
      <c r="AF764">
        <v>2023</v>
      </c>
      <c r="AG764">
        <v>13</v>
      </c>
      <c r="AH764" t="str">
        <f t="shared" si="74"/>
        <v>1</v>
      </c>
      <c r="AI764" t="s">
        <v>1497</v>
      </c>
      <c r="AJ764" s="1">
        <v>44931</v>
      </c>
      <c r="AK764" t="s">
        <v>1498</v>
      </c>
      <c r="AL764">
        <v>69.489999999999995</v>
      </c>
      <c r="AM764" t="str">
        <f>"8795275942"</f>
        <v>8795275942</v>
      </c>
      <c r="AN764">
        <v>2023</v>
      </c>
      <c r="AO764">
        <v>245</v>
      </c>
      <c r="AP764">
        <v>43.43</v>
      </c>
      <c r="AQ764">
        <v>0</v>
      </c>
      <c r="AR764">
        <v>12.53</v>
      </c>
      <c r="AS764" t="s">
        <v>177</v>
      </c>
      <c r="AT764">
        <v>56.96</v>
      </c>
      <c r="AU764">
        <v>12.53</v>
      </c>
      <c r="AV764">
        <v>2023</v>
      </c>
      <c r="AW764">
        <v>202</v>
      </c>
      <c r="AX764">
        <v>670</v>
      </c>
      <c r="AY764">
        <v>0</v>
      </c>
      <c r="AZ764" t="s">
        <v>1499</v>
      </c>
      <c r="BA764">
        <v>43.43</v>
      </c>
      <c r="BB764" s="1">
        <v>44994</v>
      </c>
    </row>
    <row r="765" spans="1:54" x14ac:dyDescent="0.25">
      <c r="A765">
        <v>2023</v>
      </c>
      <c r="B765">
        <v>385</v>
      </c>
      <c r="C765" s="1">
        <v>44994</v>
      </c>
      <c r="D765">
        <v>2023</v>
      </c>
      <c r="E765">
        <v>2023</v>
      </c>
      <c r="F765">
        <v>99</v>
      </c>
      <c r="H765" t="s">
        <v>1500</v>
      </c>
      <c r="I765">
        <v>149</v>
      </c>
      <c r="J765">
        <v>0</v>
      </c>
      <c r="K765" t="s">
        <v>277</v>
      </c>
      <c r="R765" t="s">
        <v>1501</v>
      </c>
      <c r="S765" t="str">
        <f>"30"</f>
        <v>30</v>
      </c>
      <c r="T765" t="s">
        <v>78</v>
      </c>
      <c r="W765" t="s">
        <v>1502</v>
      </c>
      <c r="Y765">
        <v>1647</v>
      </c>
      <c r="Z765" t="s">
        <v>1495</v>
      </c>
      <c r="AB765" t="str">
        <f>"02014380279"</f>
        <v>02014380279</v>
      </c>
      <c r="AC765" t="s">
        <v>116</v>
      </c>
      <c r="AD765" t="s">
        <v>1496</v>
      </c>
      <c r="AF765">
        <v>2023</v>
      </c>
      <c r="AG765">
        <v>13</v>
      </c>
      <c r="AH765" t="str">
        <f t="shared" si="74"/>
        <v>1</v>
      </c>
      <c r="AI765" t="s">
        <v>1497</v>
      </c>
      <c r="AJ765" s="1">
        <v>44931</v>
      </c>
      <c r="AK765" t="s">
        <v>1498</v>
      </c>
      <c r="AL765">
        <v>69.489999999999995</v>
      </c>
      <c r="AM765" t="str">
        <f>"8795275942"</f>
        <v>8795275942</v>
      </c>
      <c r="AN765">
        <v>2023</v>
      </c>
      <c r="AO765">
        <v>247</v>
      </c>
      <c r="AP765">
        <v>26.06</v>
      </c>
      <c r="AQ765">
        <v>0</v>
      </c>
      <c r="AR765">
        <v>0</v>
      </c>
      <c r="BA765">
        <v>26.06</v>
      </c>
      <c r="BB765" s="1">
        <v>44994</v>
      </c>
    </row>
    <row r="766" spans="1:54" x14ac:dyDescent="0.25">
      <c r="A766">
        <v>2023</v>
      </c>
      <c r="B766">
        <v>386</v>
      </c>
      <c r="C766" s="1">
        <v>44994</v>
      </c>
      <c r="D766">
        <v>2023</v>
      </c>
      <c r="E766">
        <v>2022</v>
      </c>
      <c r="F766">
        <v>648</v>
      </c>
      <c r="H766" t="s">
        <v>1503</v>
      </c>
      <c r="I766">
        <v>120</v>
      </c>
      <c r="J766">
        <v>0</v>
      </c>
      <c r="K766" t="s">
        <v>120</v>
      </c>
      <c r="R766" t="s">
        <v>1504</v>
      </c>
      <c r="S766" t="str">
        <f>"30"</f>
        <v>30</v>
      </c>
      <c r="T766" t="s">
        <v>78</v>
      </c>
      <c r="W766" t="s">
        <v>1505</v>
      </c>
      <c r="Y766">
        <v>1603</v>
      </c>
      <c r="Z766" t="s">
        <v>1506</v>
      </c>
      <c r="AB766" t="str">
        <f>"03938420274"</f>
        <v>03938420274</v>
      </c>
      <c r="AC766" t="s">
        <v>116</v>
      </c>
      <c r="AD766" t="s">
        <v>1507</v>
      </c>
      <c r="AF766">
        <v>2022</v>
      </c>
      <c r="AG766">
        <v>4014</v>
      </c>
      <c r="AH766" t="str">
        <f t="shared" si="74"/>
        <v>1</v>
      </c>
      <c r="AI766" t="s">
        <v>1508</v>
      </c>
      <c r="AJ766" s="1">
        <v>44918</v>
      </c>
      <c r="AK766" t="s">
        <v>1509</v>
      </c>
      <c r="AL766">
        <v>254.44</v>
      </c>
      <c r="AM766" t="str">
        <f>"8717796842"</f>
        <v>8717796842</v>
      </c>
      <c r="AN766">
        <v>2023</v>
      </c>
      <c r="AO766">
        <v>175</v>
      </c>
      <c r="AP766">
        <v>165.87</v>
      </c>
      <c r="AQ766">
        <v>0</v>
      </c>
      <c r="AR766">
        <v>45.88</v>
      </c>
      <c r="AS766" t="s">
        <v>177</v>
      </c>
      <c r="AT766">
        <v>208.56</v>
      </c>
      <c r="AU766">
        <v>45.88</v>
      </c>
      <c r="AV766">
        <v>2023</v>
      </c>
      <c r="AW766">
        <v>203</v>
      </c>
      <c r="AX766">
        <v>670</v>
      </c>
      <c r="AY766">
        <v>0</v>
      </c>
      <c r="AZ766" t="s">
        <v>1510</v>
      </c>
      <c r="BA766">
        <v>165.87</v>
      </c>
      <c r="BB766" s="1">
        <v>44994</v>
      </c>
    </row>
    <row r="767" spans="1:54" x14ac:dyDescent="0.25">
      <c r="A767">
        <v>2023</v>
      </c>
      <c r="B767">
        <v>387</v>
      </c>
      <c r="C767" s="1">
        <v>44994</v>
      </c>
      <c r="D767">
        <v>2023</v>
      </c>
      <c r="E767">
        <v>2022</v>
      </c>
      <c r="F767">
        <v>647</v>
      </c>
      <c r="H767" t="s">
        <v>1511</v>
      </c>
      <c r="I767">
        <v>120</v>
      </c>
      <c r="J767">
        <v>0</v>
      </c>
      <c r="K767" t="s">
        <v>120</v>
      </c>
      <c r="R767" t="s">
        <v>1512</v>
      </c>
      <c r="S767" t="str">
        <f t="shared" ref="S767:S775" si="76">"31"</f>
        <v>31</v>
      </c>
      <c r="T767" t="s">
        <v>122</v>
      </c>
      <c r="W767" t="s">
        <v>1513</v>
      </c>
      <c r="Y767">
        <v>1603</v>
      </c>
      <c r="Z767" t="s">
        <v>1506</v>
      </c>
      <c r="AB767" t="str">
        <f>"03938420274"</f>
        <v>03938420274</v>
      </c>
      <c r="AC767" t="s">
        <v>116</v>
      </c>
      <c r="AD767" t="s">
        <v>1507</v>
      </c>
      <c r="AF767">
        <v>2022</v>
      </c>
      <c r="AG767">
        <v>4014</v>
      </c>
      <c r="AH767" t="str">
        <f t="shared" si="74"/>
        <v>1</v>
      </c>
      <c r="AI767" t="s">
        <v>1508</v>
      </c>
      <c r="AJ767" s="1">
        <v>44918</v>
      </c>
      <c r="AK767" t="s">
        <v>1509</v>
      </c>
      <c r="AL767">
        <v>254.44</v>
      </c>
      <c r="AM767" t="str">
        <f>"8717796842"</f>
        <v>8717796842</v>
      </c>
      <c r="AN767">
        <v>2023</v>
      </c>
      <c r="AO767">
        <v>174</v>
      </c>
      <c r="AP767">
        <v>88.57</v>
      </c>
      <c r="AQ767">
        <v>0</v>
      </c>
      <c r="AR767">
        <v>0</v>
      </c>
      <c r="BA767">
        <v>88.57</v>
      </c>
      <c r="BB767" s="1">
        <v>44994</v>
      </c>
    </row>
    <row r="768" spans="1:54" x14ac:dyDescent="0.25">
      <c r="A768">
        <v>2023</v>
      </c>
      <c r="B768">
        <v>388</v>
      </c>
      <c r="C768" s="1">
        <v>44994</v>
      </c>
      <c r="D768">
        <v>2023</v>
      </c>
      <c r="E768">
        <v>2022</v>
      </c>
      <c r="F768">
        <v>647</v>
      </c>
      <c r="H768" t="s">
        <v>1511</v>
      </c>
      <c r="I768">
        <v>120</v>
      </c>
      <c r="J768">
        <v>0</v>
      </c>
      <c r="K768" t="s">
        <v>120</v>
      </c>
      <c r="R768" t="s">
        <v>1512</v>
      </c>
      <c r="S768" t="str">
        <f t="shared" si="76"/>
        <v>31</v>
      </c>
      <c r="T768" t="s">
        <v>122</v>
      </c>
      <c r="W768" t="s">
        <v>1514</v>
      </c>
      <c r="Y768">
        <v>1603</v>
      </c>
      <c r="Z768" t="s">
        <v>1506</v>
      </c>
      <c r="AB768" t="str">
        <f>"03938420274"</f>
        <v>03938420274</v>
      </c>
      <c r="AC768" t="s">
        <v>116</v>
      </c>
      <c r="AD768" t="s">
        <v>1507</v>
      </c>
      <c r="AF768">
        <v>2022</v>
      </c>
      <c r="AG768">
        <v>4015</v>
      </c>
      <c r="AH768" t="str">
        <f t="shared" si="74"/>
        <v>1</v>
      </c>
      <c r="AI768" t="s">
        <v>1515</v>
      </c>
      <c r="AJ768" s="1">
        <v>44918</v>
      </c>
      <c r="AK768" t="s">
        <v>1514</v>
      </c>
      <c r="AL768">
        <v>41.16</v>
      </c>
      <c r="AM768" t="str">
        <f>"8717796923"</f>
        <v>8717796923</v>
      </c>
      <c r="AN768">
        <v>2023</v>
      </c>
      <c r="AO768">
        <v>173</v>
      </c>
      <c r="AP768">
        <v>41.16</v>
      </c>
      <c r="AQ768">
        <v>0</v>
      </c>
      <c r="AR768">
        <v>7.42</v>
      </c>
      <c r="AS768" t="s">
        <v>177</v>
      </c>
      <c r="AT768">
        <v>33.74</v>
      </c>
      <c r="AU768">
        <v>7.42</v>
      </c>
      <c r="AV768">
        <v>2023</v>
      </c>
      <c r="AW768">
        <v>204</v>
      </c>
      <c r="AX768">
        <v>670</v>
      </c>
      <c r="AY768">
        <v>0</v>
      </c>
      <c r="AZ768" t="s">
        <v>1516</v>
      </c>
      <c r="BA768">
        <v>41.16</v>
      </c>
      <c r="BB768" s="1">
        <v>44994</v>
      </c>
    </row>
    <row r="769" spans="1:54" x14ac:dyDescent="0.25">
      <c r="A769">
        <v>2023</v>
      </c>
      <c r="B769">
        <v>389</v>
      </c>
      <c r="C769" s="1">
        <v>44994</v>
      </c>
      <c r="D769">
        <v>2023</v>
      </c>
      <c r="E769">
        <v>2022</v>
      </c>
      <c r="F769">
        <v>105</v>
      </c>
      <c r="H769" t="s">
        <v>1517</v>
      </c>
      <c r="I769">
        <v>120</v>
      </c>
      <c r="J769">
        <v>0</v>
      </c>
      <c r="K769" t="s">
        <v>120</v>
      </c>
      <c r="R769" t="s">
        <v>1518</v>
      </c>
      <c r="S769" t="str">
        <f t="shared" si="76"/>
        <v>31</v>
      </c>
      <c r="T769" t="s">
        <v>122</v>
      </c>
      <c r="W769" t="s">
        <v>1519</v>
      </c>
      <c r="Y769">
        <v>753</v>
      </c>
      <c r="Z769" t="s">
        <v>1520</v>
      </c>
      <c r="AB769" t="str">
        <f>"03573940271"</f>
        <v>03573940271</v>
      </c>
      <c r="AC769" t="s">
        <v>116</v>
      </c>
      <c r="AD769" t="s">
        <v>1521</v>
      </c>
      <c r="AF769">
        <v>2022</v>
      </c>
      <c r="AG769">
        <v>3991</v>
      </c>
      <c r="AH769" t="str">
        <f t="shared" si="74"/>
        <v>1</v>
      </c>
      <c r="AI769" t="s">
        <v>1522</v>
      </c>
      <c r="AJ769" s="1">
        <v>44917</v>
      </c>
      <c r="AK769" t="s">
        <v>1519</v>
      </c>
      <c r="AL769">
        <v>809.45</v>
      </c>
      <c r="AM769" t="str">
        <f>"8702493933"</f>
        <v>8702493933</v>
      </c>
      <c r="AN769">
        <v>2023</v>
      </c>
      <c r="AO769">
        <v>72</v>
      </c>
      <c r="AP769">
        <v>809.45</v>
      </c>
      <c r="AQ769">
        <v>0</v>
      </c>
      <c r="AR769">
        <v>145.97</v>
      </c>
      <c r="AS769" t="s">
        <v>177</v>
      </c>
      <c r="AT769">
        <v>663.48</v>
      </c>
      <c r="AU769">
        <v>145.97</v>
      </c>
      <c r="AV769">
        <v>2023</v>
      </c>
      <c r="AW769">
        <v>205</v>
      </c>
      <c r="AX769">
        <v>670</v>
      </c>
      <c r="AY769">
        <v>0</v>
      </c>
      <c r="AZ769" t="s">
        <v>1523</v>
      </c>
      <c r="BA769">
        <v>809.45</v>
      </c>
      <c r="BB769" s="1">
        <v>44994</v>
      </c>
    </row>
    <row r="770" spans="1:54" x14ac:dyDescent="0.25">
      <c r="A770">
        <v>2023</v>
      </c>
      <c r="B770">
        <v>390</v>
      </c>
      <c r="C770" s="1">
        <v>44994</v>
      </c>
      <c r="D770">
        <v>2023</v>
      </c>
      <c r="E770">
        <v>2022</v>
      </c>
      <c r="F770">
        <v>347</v>
      </c>
      <c r="H770" t="s">
        <v>1524</v>
      </c>
      <c r="I770">
        <v>120</v>
      </c>
      <c r="J770">
        <v>0</v>
      </c>
      <c r="K770" t="s">
        <v>120</v>
      </c>
      <c r="R770" t="s">
        <v>1525</v>
      </c>
      <c r="S770" t="str">
        <f t="shared" si="76"/>
        <v>31</v>
      </c>
      <c r="T770" t="s">
        <v>122</v>
      </c>
      <c r="W770" t="s">
        <v>1526</v>
      </c>
      <c r="Y770">
        <v>843</v>
      </c>
      <c r="Z770" t="s">
        <v>395</v>
      </c>
      <c r="AB770" t="str">
        <f>"00722190279"</f>
        <v>00722190279</v>
      </c>
      <c r="AC770" t="s">
        <v>116</v>
      </c>
      <c r="AD770" t="s">
        <v>396</v>
      </c>
      <c r="AF770">
        <v>2023</v>
      </c>
      <c r="AG770">
        <v>287</v>
      </c>
      <c r="AH770" t="str">
        <f t="shared" si="74"/>
        <v>1</v>
      </c>
      <c r="AI770" t="str">
        <f>"000431"</f>
        <v>000431</v>
      </c>
      <c r="AJ770" s="1">
        <v>44947</v>
      </c>
      <c r="AK770" t="s">
        <v>1526</v>
      </c>
      <c r="AL770">
        <v>6.6</v>
      </c>
      <c r="AM770" t="str">
        <f>"8905520035"</f>
        <v>8905520035</v>
      </c>
      <c r="AN770">
        <v>2023</v>
      </c>
      <c r="AO770">
        <v>237</v>
      </c>
      <c r="AP770">
        <v>6.6</v>
      </c>
      <c r="AQ770">
        <v>0</v>
      </c>
      <c r="AR770">
        <v>1.19</v>
      </c>
      <c r="AS770" t="s">
        <v>177</v>
      </c>
      <c r="AT770">
        <v>5.41</v>
      </c>
      <c r="AU770">
        <v>1.19</v>
      </c>
      <c r="AV770">
        <v>2023</v>
      </c>
      <c r="AW770">
        <v>206</v>
      </c>
      <c r="AX770">
        <v>670</v>
      </c>
      <c r="AY770">
        <v>0</v>
      </c>
      <c r="AZ770" t="s">
        <v>1527</v>
      </c>
      <c r="BA770">
        <v>6.6</v>
      </c>
      <c r="BB770" s="1">
        <v>44994</v>
      </c>
    </row>
    <row r="771" spans="1:54" x14ac:dyDescent="0.25">
      <c r="A771">
        <v>2023</v>
      </c>
      <c r="B771">
        <v>391</v>
      </c>
      <c r="C771" s="1">
        <v>44994</v>
      </c>
      <c r="D771">
        <v>2023</v>
      </c>
      <c r="E771">
        <v>2022</v>
      </c>
      <c r="F771">
        <v>401</v>
      </c>
      <c r="H771" t="s">
        <v>399</v>
      </c>
      <c r="I771">
        <v>120</v>
      </c>
      <c r="J771">
        <v>0</v>
      </c>
      <c r="K771" t="s">
        <v>120</v>
      </c>
      <c r="R771" t="s">
        <v>400</v>
      </c>
      <c r="S771" t="str">
        <f t="shared" si="76"/>
        <v>31</v>
      </c>
      <c r="T771" t="s">
        <v>122</v>
      </c>
      <c r="W771" t="s">
        <v>1528</v>
      </c>
      <c r="Y771">
        <v>843</v>
      </c>
      <c r="Z771" t="s">
        <v>395</v>
      </c>
      <c r="AB771" t="str">
        <f>"00722190279"</f>
        <v>00722190279</v>
      </c>
      <c r="AC771" t="s">
        <v>116</v>
      </c>
      <c r="AD771" t="s">
        <v>396</v>
      </c>
      <c r="AF771">
        <v>2023</v>
      </c>
      <c r="AG771">
        <v>288</v>
      </c>
      <c r="AH771" t="str">
        <f t="shared" si="74"/>
        <v>1</v>
      </c>
      <c r="AI771" t="str">
        <f>"000690"</f>
        <v>000690</v>
      </c>
      <c r="AJ771" s="1">
        <v>44957</v>
      </c>
      <c r="AK771" t="s">
        <v>1528</v>
      </c>
      <c r="AL771">
        <v>323.83999999999997</v>
      </c>
      <c r="AM771" t="str">
        <f>"8973263675"</f>
        <v>8973263675</v>
      </c>
      <c r="AN771">
        <v>2023</v>
      </c>
      <c r="AO771">
        <v>238</v>
      </c>
      <c r="AP771">
        <v>323.83999999999997</v>
      </c>
      <c r="AQ771">
        <v>0</v>
      </c>
      <c r="AR771">
        <v>60.49</v>
      </c>
      <c r="AS771" t="s">
        <v>177</v>
      </c>
      <c r="AT771">
        <v>265.44</v>
      </c>
      <c r="AU771">
        <v>58.4</v>
      </c>
      <c r="AV771">
        <v>2023</v>
      </c>
      <c r="AW771">
        <v>207</v>
      </c>
      <c r="AX771">
        <v>670</v>
      </c>
      <c r="AY771">
        <v>0</v>
      </c>
      <c r="AZ771" t="s">
        <v>1529</v>
      </c>
      <c r="BA771">
        <v>323.83999999999997</v>
      </c>
      <c r="BB771" s="1">
        <v>44994</v>
      </c>
    </row>
    <row r="772" spans="1:54" x14ac:dyDescent="0.25">
      <c r="A772">
        <v>2023</v>
      </c>
      <c r="B772">
        <v>391</v>
      </c>
      <c r="C772" s="1">
        <v>44994</v>
      </c>
      <c r="D772">
        <v>2023</v>
      </c>
      <c r="E772">
        <v>2022</v>
      </c>
      <c r="F772">
        <v>401</v>
      </c>
      <c r="H772" t="s">
        <v>399</v>
      </c>
      <c r="I772">
        <v>120</v>
      </c>
      <c r="J772">
        <v>0</v>
      </c>
      <c r="K772" t="s">
        <v>120</v>
      </c>
      <c r="R772" t="s">
        <v>400</v>
      </c>
      <c r="S772" t="str">
        <f t="shared" si="76"/>
        <v>31</v>
      </c>
      <c r="T772" t="s">
        <v>122</v>
      </c>
      <c r="W772" t="s">
        <v>1528</v>
      </c>
      <c r="Y772">
        <v>843</v>
      </c>
      <c r="Z772" t="s">
        <v>395</v>
      </c>
      <c r="AB772" t="str">
        <f>"00722190279"</f>
        <v>00722190279</v>
      </c>
      <c r="AC772" t="s">
        <v>116</v>
      </c>
      <c r="AD772" t="s">
        <v>396</v>
      </c>
      <c r="AF772">
        <v>2023</v>
      </c>
      <c r="AG772">
        <v>289</v>
      </c>
      <c r="AH772" t="str">
        <f t="shared" si="74"/>
        <v>1</v>
      </c>
      <c r="AI772" t="str">
        <f>"000689"</f>
        <v>000689</v>
      </c>
      <c r="AJ772" s="1">
        <v>44957</v>
      </c>
      <c r="AK772" t="s">
        <v>1528</v>
      </c>
      <c r="AL772">
        <v>11.61</v>
      </c>
      <c r="AM772" t="str">
        <f>"8973261794"</f>
        <v>8973261794</v>
      </c>
      <c r="AN772">
        <v>2023</v>
      </c>
      <c r="AO772">
        <v>238</v>
      </c>
      <c r="AP772">
        <v>11.61</v>
      </c>
      <c r="AQ772">
        <v>0</v>
      </c>
      <c r="AR772">
        <v>60.49</v>
      </c>
      <c r="AS772" t="s">
        <v>177</v>
      </c>
      <c r="AT772">
        <v>9.52</v>
      </c>
      <c r="AU772">
        <v>2.09</v>
      </c>
      <c r="AV772">
        <v>2023</v>
      </c>
      <c r="AW772">
        <v>207</v>
      </c>
      <c r="AX772">
        <v>670</v>
      </c>
      <c r="AY772">
        <v>0</v>
      </c>
      <c r="AZ772" t="s">
        <v>1529</v>
      </c>
      <c r="BA772">
        <v>11.61</v>
      </c>
      <c r="BB772" s="1">
        <v>44994</v>
      </c>
    </row>
    <row r="773" spans="1:54" x14ac:dyDescent="0.25">
      <c r="A773">
        <v>2023</v>
      </c>
      <c r="B773">
        <v>392</v>
      </c>
      <c r="C773" s="1">
        <v>44994</v>
      </c>
      <c r="D773">
        <v>2023</v>
      </c>
      <c r="E773">
        <v>2022</v>
      </c>
      <c r="F773">
        <v>84</v>
      </c>
      <c r="H773" t="s">
        <v>318</v>
      </c>
      <c r="I773">
        <v>149</v>
      </c>
      <c r="J773">
        <v>0</v>
      </c>
      <c r="K773" t="s">
        <v>277</v>
      </c>
      <c r="R773" t="s">
        <v>319</v>
      </c>
      <c r="S773" t="str">
        <f t="shared" si="76"/>
        <v>31</v>
      </c>
      <c r="T773" t="s">
        <v>122</v>
      </c>
      <c r="W773" t="s">
        <v>1530</v>
      </c>
      <c r="Y773">
        <v>3295</v>
      </c>
      <c r="Z773" t="s">
        <v>321</v>
      </c>
      <c r="AB773" t="str">
        <f>"04362060271"</f>
        <v>04362060271</v>
      </c>
      <c r="AC773" t="s">
        <v>116</v>
      </c>
      <c r="AD773" t="s">
        <v>322</v>
      </c>
      <c r="AF773">
        <v>2023</v>
      </c>
      <c r="AG773">
        <v>259</v>
      </c>
      <c r="AH773" t="str">
        <f t="shared" si="74"/>
        <v>1</v>
      </c>
      <c r="AI773" t="str">
        <f>"126"</f>
        <v>126</v>
      </c>
      <c r="AJ773" s="1">
        <v>44926</v>
      </c>
      <c r="AK773" t="s">
        <v>1530</v>
      </c>
      <c r="AL773" s="2">
        <v>1539.03</v>
      </c>
      <c r="AM773" t="str">
        <f>"8808056464"</f>
        <v>8808056464</v>
      </c>
      <c r="AN773">
        <v>2023</v>
      </c>
      <c r="AO773">
        <v>234</v>
      </c>
      <c r="AP773" s="2">
        <v>1539.03</v>
      </c>
      <c r="AQ773">
        <v>0</v>
      </c>
      <c r="AR773">
        <v>277.52999999999997</v>
      </c>
      <c r="AS773" t="s">
        <v>177</v>
      </c>
      <c r="AT773">
        <v>1261.5</v>
      </c>
      <c r="AU773">
        <v>277.52999999999997</v>
      </c>
      <c r="AV773">
        <v>2023</v>
      </c>
      <c r="AW773">
        <v>208</v>
      </c>
      <c r="AX773">
        <v>670</v>
      </c>
      <c r="AY773">
        <v>0</v>
      </c>
      <c r="AZ773" t="s">
        <v>1531</v>
      </c>
      <c r="BA773">
        <v>1539.03</v>
      </c>
      <c r="BB773" s="1">
        <v>44994</v>
      </c>
    </row>
    <row r="774" spans="1:54" x14ac:dyDescent="0.25">
      <c r="A774">
        <v>2023</v>
      </c>
      <c r="B774">
        <v>393</v>
      </c>
      <c r="C774" s="1">
        <v>44994</v>
      </c>
      <c r="D774">
        <v>2023</v>
      </c>
      <c r="E774">
        <v>2022</v>
      </c>
      <c r="F774">
        <v>29</v>
      </c>
      <c r="H774" t="s">
        <v>1532</v>
      </c>
      <c r="I774">
        <v>149</v>
      </c>
      <c r="J774">
        <v>0</v>
      </c>
      <c r="K774" t="s">
        <v>277</v>
      </c>
      <c r="R774" t="s">
        <v>1533</v>
      </c>
      <c r="S774" t="str">
        <f t="shared" si="76"/>
        <v>31</v>
      </c>
      <c r="T774" t="s">
        <v>122</v>
      </c>
      <c r="W774" t="s">
        <v>1534</v>
      </c>
      <c r="Y774">
        <v>1341</v>
      </c>
      <c r="Z774" t="s">
        <v>1535</v>
      </c>
      <c r="AB774" t="str">
        <f>"00288010275"</f>
        <v>00288010275</v>
      </c>
      <c r="AC774" t="s">
        <v>116</v>
      </c>
      <c r="AD774" t="s">
        <v>1536</v>
      </c>
      <c r="AF774">
        <v>2023</v>
      </c>
      <c r="AG774">
        <v>290</v>
      </c>
      <c r="AH774" t="str">
        <f t="shared" si="74"/>
        <v>1</v>
      </c>
      <c r="AI774" t="str">
        <f>"4"</f>
        <v>4</v>
      </c>
      <c r="AJ774" s="1">
        <v>44949</v>
      </c>
      <c r="AK774" t="s">
        <v>1534</v>
      </c>
      <c r="AL774" s="2">
        <v>1933.85</v>
      </c>
      <c r="AM774" t="str">
        <f>"8904576112"</f>
        <v>8904576112</v>
      </c>
      <c r="AN774">
        <v>2023</v>
      </c>
      <c r="AO774">
        <v>241</v>
      </c>
      <c r="AP774" s="2">
        <v>1933.85</v>
      </c>
      <c r="AQ774">
        <v>0</v>
      </c>
      <c r="AR774">
        <v>348.73</v>
      </c>
      <c r="AS774" t="s">
        <v>177</v>
      </c>
      <c r="AT774">
        <v>1585.12</v>
      </c>
      <c r="AU774">
        <v>348.73</v>
      </c>
      <c r="AV774">
        <v>2023</v>
      </c>
      <c r="AW774">
        <v>209</v>
      </c>
      <c r="AX774">
        <v>670</v>
      </c>
      <c r="AY774">
        <v>0</v>
      </c>
      <c r="AZ774" t="s">
        <v>1537</v>
      </c>
      <c r="BA774">
        <v>1933.85</v>
      </c>
      <c r="BB774" s="1">
        <v>44994</v>
      </c>
    </row>
    <row r="775" spans="1:54" x14ac:dyDescent="0.25">
      <c r="A775">
        <v>2023</v>
      </c>
      <c r="B775">
        <v>394</v>
      </c>
      <c r="C775" s="1">
        <v>44994</v>
      </c>
      <c r="D775">
        <v>2023</v>
      </c>
      <c r="E775">
        <v>2022</v>
      </c>
      <c r="F775">
        <v>180</v>
      </c>
      <c r="H775" t="s">
        <v>1538</v>
      </c>
      <c r="I775">
        <v>149</v>
      </c>
      <c r="J775">
        <v>0</v>
      </c>
      <c r="K775" t="s">
        <v>277</v>
      </c>
      <c r="R775" t="s">
        <v>1539</v>
      </c>
      <c r="S775" t="str">
        <f t="shared" si="76"/>
        <v>31</v>
      </c>
      <c r="T775" t="s">
        <v>122</v>
      </c>
      <c r="W775" t="s">
        <v>1540</v>
      </c>
      <c r="Y775">
        <v>1341</v>
      </c>
      <c r="Z775" t="s">
        <v>1535</v>
      </c>
      <c r="AB775" t="str">
        <f>"00288010275"</f>
        <v>00288010275</v>
      </c>
      <c r="AC775" t="s">
        <v>116</v>
      </c>
      <c r="AD775" t="s">
        <v>1536</v>
      </c>
      <c r="AF775">
        <v>2023</v>
      </c>
      <c r="AG775">
        <v>291</v>
      </c>
      <c r="AH775" t="str">
        <f t="shared" si="74"/>
        <v>1</v>
      </c>
      <c r="AI775" t="str">
        <f>"3"</f>
        <v>3</v>
      </c>
      <c r="AJ775" s="1">
        <v>44949</v>
      </c>
      <c r="AK775" t="s">
        <v>1540</v>
      </c>
      <c r="AL775" s="2">
        <v>26253.24</v>
      </c>
      <c r="AM775" t="str">
        <f>"8904575539"</f>
        <v>8904575539</v>
      </c>
      <c r="AN775">
        <v>2023</v>
      </c>
      <c r="AO775">
        <v>242</v>
      </c>
      <c r="AP775" s="2">
        <v>26253.24</v>
      </c>
      <c r="AQ775">
        <v>0</v>
      </c>
      <c r="AR775" s="2">
        <v>4734.1899999999996</v>
      </c>
      <c r="AS775" t="s">
        <v>177</v>
      </c>
      <c r="AT775">
        <v>21519.05</v>
      </c>
      <c r="AU775">
        <v>4734.1899999999996</v>
      </c>
      <c r="AV775">
        <v>2023</v>
      </c>
      <c r="AW775">
        <v>210</v>
      </c>
      <c r="AX775">
        <v>670</v>
      </c>
      <c r="AY775">
        <v>0</v>
      </c>
      <c r="AZ775" t="s">
        <v>1541</v>
      </c>
      <c r="BA775">
        <v>26253.24</v>
      </c>
      <c r="BB775" s="1">
        <v>44994</v>
      </c>
    </row>
    <row r="776" spans="1:54" x14ac:dyDescent="0.25">
      <c r="A776">
        <v>2023</v>
      </c>
      <c r="B776">
        <v>395</v>
      </c>
      <c r="C776" s="1">
        <v>44994</v>
      </c>
      <c r="D776">
        <v>2023</v>
      </c>
      <c r="E776">
        <v>2023</v>
      </c>
      <c r="F776">
        <v>137</v>
      </c>
      <c r="H776" t="s">
        <v>1115</v>
      </c>
      <c r="I776">
        <v>470</v>
      </c>
      <c r="J776">
        <v>0</v>
      </c>
      <c r="K776" t="s">
        <v>154</v>
      </c>
      <c r="W776" t="s">
        <v>1116</v>
      </c>
      <c r="Y776">
        <v>4620</v>
      </c>
      <c r="Z776" t="s">
        <v>1542</v>
      </c>
      <c r="AA776" t="s">
        <v>1543</v>
      </c>
      <c r="AB776" t="s">
        <v>1544</v>
      </c>
      <c r="AC776" t="s">
        <v>116</v>
      </c>
      <c r="AD776" t="s">
        <v>1545</v>
      </c>
      <c r="AP776">
        <v>238.21</v>
      </c>
      <c r="AQ776">
        <v>0</v>
      </c>
      <c r="AR776">
        <v>0</v>
      </c>
      <c r="BA776">
        <v>238.21</v>
      </c>
      <c r="BB776" s="1">
        <v>44994</v>
      </c>
    </row>
    <row r="777" spans="1:54" x14ac:dyDescent="0.25">
      <c r="A777">
        <v>2023</v>
      </c>
      <c r="B777">
        <v>396</v>
      </c>
      <c r="C777" s="1">
        <v>44994</v>
      </c>
      <c r="D777">
        <v>2023</v>
      </c>
      <c r="E777">
        <v>2023</v>
      </c>
      <c r="F777">
        <v>137</v>
      </c>
      <c r="H777" t="s">
        <v>1115</v>
      </c>
      <c r="I777">
        <v>470</v>
      </c>
      <c r="J777">
        <v>0</v>
      </c>
      <c r="K777" t="s">
        <v>154</v>
      </c>
      <c r="W777" t="s">
        <v>1116</v>
      </c>
      <c r="Y777">
        <v>4621</v>
      </c>
      <c r="Z777" t="s">
        <v>1546</v>
      </c>
      <c r="AA777" t="s">
        <v>1547</v>
      </c>
      <c r="AB777" t="s">
        <v>1548</v>
      </c>
      <c r="AC777" t="s">
        <v>116</v>
      </c>
      <c r="AD777" t="s">
        <v>1549</v>
      </c>
      <c r="AP777">
        <v>188.1</v>
      </c>
      <c r="AQ777">
        <v>0</v>
      </c>
      <c r="AR777">
        <v>0</v>
      </c>
      <c r="BA777">
        <v>188.1</v>
      </c>
      <c r="BB777" s="1">
        <v>44994</v>
      </c>
    </row>
    <row r="778" spans="1:54" x14ac:dyDescent="0.25">
      <c r="A778">
        <v>2023</v>
      </c>
      <c r="B778">
        <v>397</v>
      </c>
      <c r="C778" s="1">
        <v>44998</v>
      </c>
      <c r="D778">
        <v>2023</v>
      </c>
      <c r="E778">
        <v>2023</v>
      </c>
      <c r="F778">
        <v>74</v>
      </c>
      <c r="H778" t="s">
        <v>727</v>
      </c>
      <c r="I778">
        <v>160</v>
      </c>
      <c r="J778">
        <v>0</v>
      </c>
      <c r="K778" t="s">
        <v>70</v>
      </c>
      <c r="S778" t="str">
        <f>"33"</f>
        <v>33</v>
      </c>
      <c r="T778" t="s">
        <v>64</v>
      </c>
      <c r="W778" t="s">
        <v>1550</v>
      </c>
      <c r="Y778">
        <v>253</v>
      </c>
      <c r="Z778" t="s">
        <v>72</v>
      </c>
      <c r="AB778" t="str">
        <f>"80007580279"</f>
        <v>80007580279</v>
      </c>
      <c r="AC778" t="s">
        <v>116</v>
      </c>
      <c r="AD778" t="s">
        <v>729</v>
      </c>
      <c r="AP778" s="2">
        <v>21626</v>
      </c>
      <c r="AQ778">
        <v>0</v>
      </c>
      <c r="AR778">
        <v>0</v>
      </c>
      <c r="BA778">
        <v>21626</v>
      </c>
      <c r="BB778" s="1">
        <v>44998</v>
      </c>
    </row>
    <row r="779" spans="1:54" x14ac:dyDescent="0.25">
      <c r="A779">
        <v>2023</v>
      </c>
      <c r="B779">
        <v>398</v>
      </c>
      <c r="C779" s="1">
        <v>44998</v>
      </c>
      <c r="D779">
        <v>2023</v>
      </c>
      <c r="E779">
        <v>2023</v>
      </c>
      <c r="F779">
        <v>38</v>
      </c>
      <c r="H779" t="s">
        <v>224</v>
      </c>
      <c r="I779">
        <v>100</v>
      </c>
      <c r="J779">
        <v>0</v>
      </c>
      <c r="K779" t="s">
        <v>77</v>
      </c>
      <c r="S779" t="str">
        <f>"30"</f>
        <v>30</v>
      </c>
      <c r="T779" t="s">
        <v>78</v>
      </c>
      <c r="W779" t="s">
        <v>1551</v>
      </c>
      <c r="Y779">
        <v>253</v>
      </c>
      <c r="Z779" t="s">
        <v>72</v>
      </c>
      <c r="AB779" t="str">
        <f>"80007580279"</f>
        <v>80007580279</v>
      </c>
      <c r="AC779" t="s">
        <v>116</v>
      </c>
      <c r="AD779" t="s">
        <v>729</v>
      </c>
      <c r="AP779" s="2">
        <v>1231</v>
      </c>
      <c r="AQ779">
        <v>0</v>
      </c>
      <c r="AR779">
        <v>0</v>
      </c>
      <c r="BA779">
        <v>1231</v>
      </c>
      <c r="BB779" s="1">
        <v>44998</v>
      </c>
    </row>
    <row r="780" spans="1:54" x14ac:dyDescent="0.25">
      <c r="A780">
        <v>2023</v>
      </c>
      <c r="B780">
        <v>399</v>
      </c>
      <c r="C780" s="1">
        <v>44998</v>
      </c>
      <c r="D780">
        <v>2023</v>
      </c>
      <c r="E780">
        <v>2023</v>
      </c>
      <c r="F780">
        <v>28</v>
      </c>
      <c r="H780" t="s">
        <v>798</v>
      </c>
      <c r="I780">
        <v>116</v>
      </c>
      <c r="J780">
        <v>0</v>
      </c>
      <c r="K780" t="s">
        <v>90</v>
      </c>
      <c r="S780" t="str">
        <f>"30"</f>
        <v>30</v>
      </c>
      <c r="T780" t="s">
        <v>78</v>
      </c>
      <c r="W780" t="s">
        <v>1552</v>
      </c>
      <c r="Y780">
        <v>1455</v>
      </c>
      <c r="Z780" t="s">
        <v>102</v>
      </c>
      <c r="AC780" t="s">
        <v>103</v>
      </c>
      <c r="AP780" s="2">
        <v>1330.01</v>
      </c>
      <c r="AQ780">
        <v>0</v>
      </c>
      <c r="AR780">
        <v>0</v>
      </c>
      <c r="BA780">
        <v>1330.01</v>
      </c>
      <c r="BB780" s="1">
        <v>44998</v>
      </c>
    </row>
    <row r="781" spans="1:54" x14ac:dyDescent="0.25">
      <c r="A781">
        <v>2023</v>
      </c>
      <c r="B781">
        <v>400</v>
      </c>
      <c r="C781" s="1">
        <v>44998</v>
      </c>
      <c r="D781">
        <v>2023</v>
      </c>
      <c r="E781">
        <v>2023</v>
      </c>
      <c r="F781">
        <v>66</v>
      </c>
      <c r="H781" t="s">
        <v>482</v>
      </c>
      <c r="I781">
        <v>400</v>
      </c>
      <c r="J781">
        <v>0</v>
      </c>
      <c r="K781" t="s">
        <v>95</v>
      </c>
      <c r="S781" t="str">
        <f>"30"</f>
        <v>30</v>
      </c>
      <c r="T781" t="s">
        <v>78</v>
      </c>
      <c r="W781" t="s">
        <v>483</v>
      </c>
      <c r="Y781">
        <v>1455</v>
      </c>
      <c r="Z781" t="s">
        <v>102</v>
      </c>
      <c r="AC781" t="s">
        <v>103</v>
      </c>
      <c r="AP781" s="2">
        <v>1779.83</v>
      </c>
      <c r="AQ781">
        <v>0</v>
      </c>
      <c r="AR781">
        <v>0</v>
      </c>
      <c r="BA781">
        <v>1779.83</v>
      </c>
      <c r="BB781" s="1">
        <v>44998</v>
      </c>
    </row>
    <row r="782" spans="1:54" x14ac:dyDescent="0.25">
      <c r="A782">
        <v>2023</v>
      </c>
      <c r="B782">
        <v>401</v>
      </c>
      <c r="C782" s="1">
        <v>44998</v>
      </c>
      <c r="D782">
        <v>2023</v>
      </c>
      <c r="E782">
        <v>2021</v>
      </c>
      <c r="F782">
        <v>41</v>
      </c>
      <c r="H782" t="s">
        <v>1553</v>
      </c>
      <c r="I782">
        <v>140</v>
      </c>
      <c r="J782">
        <v>0</v>
      </c>
      <c r="K782" t="s">
        <v>261</v>
      </c>
      <c r="S782" t="str">
        <f>"30"</f>
        <v>30</v>
      </c>
      <c r="T782" t="s">
        <v>78</v>
      </c>
      <c r="W782" t="s">
        <v>1554</v>
      </c>
      <c r="Y782">
        <v>3473</v>
      </c>
      <c r="Z782" t="s">
        <v>1555</v>
      </c>
      <c r="AB782" t="str">
        <f>"80006480281"</f>
        <v>80006480281</v>
      </c>
      <c r="AC782" t="s">
        <v>103</v>
      </c>
      <c r="AF782">
        <v>2023</v>
      </c>
      <c r="AG782">
        <v>595</v>
      </c>
      <c r="AH782" t="str">
        <f>"7"</f>
        <v>7</v>
      </c>
      <c r="AI782" t="s">
        <v>1556</v>
      </c>
      <c r="AJ782" s="1">
        <v>44991</v>
      </c>
      <c r="AK782" t="s">
        <v>1554</v>
      </c>
      <c r="AL782" s="2">
        <v>12500</v>
      </c>
      <c r="AN782">
        <v>2023</v>
      </c>
      <c r="AO782">
        <v>290</v>
      </c>
      <c r="AP782" s="2">
        <v>12500</v>
      </c>
      <c r="AQ782">
        <v>0</v>
      </c>
      <c r="AR782">
        <v>0</v>
      </c>
      <c r="BA782">
        <v>12500</v>
      </c>
      <c r="BB782" s="1">
        <v>44998</v>
      </c>
    </row>
    <row r="783" spans="1:54" x14ac:dyDescent="0.25">
      <c r="A783">
        <v>2023</v>
      </c>
      <c r="B783">
        <v>402</v>
      </c>
      <c r="C783" s="1">
        <v>44998</v>
      </c>
      <c r="D783">
        <v>2023</v>
      </c>
      <c r="E783">
        <v>2022</v>
      </c>
      <c r="F783">
        <v>555</v>
      </c>
      <c r="H783" t="s">
        <v>1557</v>
      </c>
      <c r="I783">
        <v>120</v>
      </c>
      <c r="J783">
        <v>0</v>
      </c>
      <c r="K783" t="s">
        <v>120</v>
      </c>
      <c r="R783" t="s">
        <v>1558</v>
      </c>
      <c r="S783" t="str">
        <f t="shared" ref="S783:S791" si="77">"31"</f>
        <v>31</v>
      </c>
      <c r="T783" t="s">
        <v>122</v>
      </c>
      <c r="W783" t="s">
        <v>1559</v>
      </c>
      <c r="Y783">
        <v>843</v>
      </c>
      <c r="Z783" t="s">
        <v>395</v>
      </c>
      <c r="AB783" t="str">
        <f>"00722190279"</f>
        <v>00722190279</v>
      </c>
      <c r="AC783" t="s">
        <v>116</v>
      </c>
      <c r="AD783" t="s">
        <v>396</v>
      </c>
      <c r="AF783">
        <v>2023</v>
      </c>
      <c r="AG783">
        <v>263</v>
      </c>
      <c r="AH783" t="str">
        <f>"1"</f>
        <v>1</v>
      </c>
      <c r="AI783" t="str">
        <f>"000208"</f>
        <v>000208</v>
      </c>
      <c r="AJ783" s="1">
        <v>44940</v>
      </c>
      <c r="AK783" t="s">
        <v>1559</v>
      </c>
      <c r="AL783">
        <v>466.16</v>
      </c>
      <c r="AM783" t="str">
        <f>"8874585086"</f>
        <v>8874585086</v>
      </c>
      <c r="AN783">
        <v>2023</v>
      </c>
      <c r="AO783">
        <v>235</v>
      </c>
      <c r="AP783">
        <v>466.16</v>
      </c>
      <c r="AQ783">
        <v>0</v>
      </c>
      <c r="AR783">
        <v>88.58</v>
      </c>
      <c r="AS783" t="s">
        <v>177</v>
      </c>
      <c r="AT783">
        <v>382.1</v>
      </c>
      <c r="AU783">
        <v>84.06</v>
      </c>
      <c r="AV783">
        <v>2023</v>
      </c>
      <c r="AW783">
        <v>213</v>
      </c>
      <c r="AX783">
        <v>670</v>
      </c>
      <c r="AY783">
        <v>0</v>
      </c>
      <c r="AZ783" t="s">
        <v>1560</v>
      </c>
      <c r="BA783">
        <v>466.16</v>
      </c>
      <c r="BB783" s="1">
        <v>44998</v>
      </c>
    </row>
    <row r="784" spans="1:54" x14ac:dyDescent="0.25">
      <c r="A784">
        <v>2023</v>
      </c>
      <c r="B784">
        <v>402</v>
      </c>
      <c r="C784" s="1">
        <v>44998</v>
      </c>
      <c r="D784">
        <v>2023</v>
      </c>
      <c r="E784">
        <v>2022</v>
      </c>
      <c r="F784">
        <v>555</v>
      </c>
      <c r="H784" t="s">
        <v>1557</v>
      </c>
      <c r="I784">
        <v>120</v>
      </c>
      <c r="J784">
        <v>0</v>
      </c>
      <c r="K784" t="s">
        <v>120</v>
      </c>
      <c r="R784" t="s">
        <v>1558</v>
      </c>
      <c r="S784" t="str">
        <f t="shared" si="77"/>
        <v>31</v>
      </c>
      <c r="T784" t="s">
        <v>122</v>
      </c>
      <c r="W784" t="s">
        <v>1559</v>
      </c>
      <c r="Y784">
        <v>843</v>
      </c>
      <c r="Z784" t="s">
        <v>395</v>
      </c>
      <c r="AB784" t="str">
        <f>"00722190279"</f>
        <v>00722190279</v>
      </c>
      <c r="AC784" t="s">
        <v>116</v>
      </c>
      <c r="AD784" t="s">
        <v>396</v>
      </c>
      <c r="AF784">
        <v>2023</v>
      </c>
      <c r="AG784">
        <v>286</v>
      </c>
      <c r="AH784" t="str">
        <f>"1"</f>
        <v>1</v>
      </c>
      <c r="AI784" t="str">
        <f>"000430"</f>
        <v>000430</v>
      </c>
      <c r="AJ784" s="1">
        <v>44947</v>
      </c>
      <c r="AK784" t="s">
        <v>1559</v>
      </c>
      <c r="AL784">
        <v>25.08</v>
      </c>
      <c r="AM784" t="str">
        <f>"8905516302"</f>
        <v>8905516302</v>
      </c>
      <c r="AN784">
        <v>2023</v>
      </c>
      <c r="AO784">
        <v>235</v>
      </c>
      <c r="AP784">
        <v>25.08</v>
      </c>
      <c r="AQ784">
        <v>0</v>
      </c>
      <c r="AR784">
        <v>88.58</v>
      </c>
      <c r="AS784" t="s">
        <v>177</v>
      </c>
      <c r="AT784">
        <v>20.56</v>
      </c>
      <c r="AU784">
        <v>4.5199999999999996</v>
      </c>
      <c r="AV784">
        <v>2023</v>
      </c>
      <c r="AW784">
        <v>213</v>
      </c>
      <c r="AX784">
        <v>670</v>
      </c>
      <c r="AY784">
        <v>0</v>
      </c>
      <c r="AZ784" t="s">
        <v>1560</v>
      </c>
      <c r="BA784">
        <v>25.08</v>
      </c>
      <c r="BB784" s="1">
        <v>44998</v>
      </c>
    </row>
    <row r="785" spans="1:54" x14ac:dyDescent="0.25">
      <c r="A785">
        <v>2023</v>
      </c>
      <c r="B785">
        <v>403</v>
      </c>
      <c r="C785" s="1">
        <v>44998</v>
      </c>
      <c r="D785">
        <v>2023</v>
      </c>
      <c r="E785">
        <v>2022</v>
      </c>
      <c r="F785">
        <v>726</v>
      </c>
      <c r="H785" t="s">
        <v>1561</v>
      </c>
      <c r="I785">
        <v>149</v>
      </c>
      <c r="J785">
        <v>0</v>
      </c>
      <c r="K785" t="s">
        <v>277</v>
      </c>
      <c r="R785" t="s">
        <v>1562</v>
      </c>
      <c r="S785" t="str">
        <f t="shared" si="77"/>
        <v>31</v>
      </c>
      <c r="T785" t="s">
        <v>122</v>
      </c>
      <c r="W785" t="s">
        <v>1563</v>
      </c>
      <c r="Y785">
        <v>19</v>
      </c>
      <c r="Z785" t="s">
        <v>1564</v>
      </c>
      <c r="AB785" t="str">
        <f>"02503060275"</f>
        <v>02503060275</v>
      </c>
      <c r="AC785" t="s">
        <v>116</v>
      </c>
      <c r="AD785" t="s">
        <v>1565</v>
      </c>
      <c r="AF785">
        <v>2023</v>
      </c>
      <c r="AG785">
        <v>22</v>
      </c>
      <c r="AH785" t="str">
        <f>"1"</f>
        <v>1</v>
      </c>
      <c r="AI785" t="s">
        <v>1566</v>
      </c>
      <c r="AJ785" s="1">
        <v>44925</v>
      </c>
      <c r="AK785" t="s">
        <v>1563</v>
      </c>
      <c r="AL785" s="2">
        <v>6993.28</v>
      </c>
      <c r="AM785" t="str">
        <f>"8790817876"</f>
        <v>8790817876</v>
      </c>
      <c r="AN785">
        <v>2023</v>
      </c>
      <c r="AO785">
        <v>213</v>
      </c>
      <c r="AP785" s="2">
        <v>6993.28</v>
      </c>
      <c r="AQ785">
        <v>0</v>
      </c>
      <c r="AR785" s="2">
        <v>1261.08</v>
      </c>
      <c r="AS785" t="s">
        <v>177</v>
      </c>
      <c r="AT785">
        <v>5732.2</v>
      </c>
      <c r="AU785">
        <v>1261.08</v>
      </c>
      <c r="AV785">
        <v>2023</v>
      </c>
      <c r="AW785">
        <v>214</v>
      </c>
      <c r="AX785">
        <v>670</v>
      </c>
      <c r="AY785">
        <v>0</v>
      </c>
      <c r="AZ785" t="s">
        <v>1567</v>
      </c>
      <c r="BA785">
        <v>6993.28</v>
      </c>
      <c r="BB785" s="1">
        <v>44998</v>
      </c>
    </row>
    <row r="786" spans="1:54" x14ac:dyDescent="0.25">
      <c r="A786">
        <v>2023</v>
      </c>
      <c r="B786">
        <v>404</v>
      </c>
      <c r="C786" s="1">
        <v>44999</v>
      </c>
      <c r="D786">
        <v>2023</v>
      </c>
      <c r="E786">
        <v>2020</v>
      </c>
      <c r="F786">
        <v>286</v>
      </c>
      <c r="H786" t="s">
        <v>1568</v>
      </c>
      <c r="I786">
        <v>220</v>
      </c>
      <c r="J786">
        <v>0</v>
      </c>
      <c r="K786" t="s">
        <v>285</v>
      </c>
      <c r="S786" t="str">
        <f t="shared" si="77"/>
        <v>31</v>
      </c>
      <c r="T786" t="s">
        <v>122</v>
      </c>
      <c r="W786" t="s">
        <v>1569</v>
      </c>
      <c r="Y786">
        <v>4570</v>
      </c>
      <c r="Z786" t="s">
        <v>1570</v>
      </c>
      <c r="AB786" t="s">
        <v>1571</v>
      </c>
      <c r="AC786" t="s">
        <v>116</v>
      </c>
      <c r="AD786" t="s">
        <v>1572</v>
      </c>
      <c r="AF786">
        <v>2022</v>
      </c>
      <c r="AG786">
        <v>3444</v>
      </c>
      <c r="AH786" t="str">
        <f t="shared" ref="AH786:AH791" si="78">"7"</f>
        <v>7</v>
      </c>
      <c r="AI786" t="s">
        <v>574</v>
      </c>
      <c r="AJ786" s="1">
        <v>44803</v>
      </c>
      <c r="AK786" t="s">
        <v>1569</v>
      </c>
      <c r="AL786">
        <v>848.4</v>
      </c>
      <c r="AN786">
        <v>2023</v>
      </c>
      <c r="AO786">
        <v>299</v>
      </c>
      <c r="AP786">
        <v>848.4</v>
      </c>
      <c r="AQ786">
        <v>0</v>
      </c>
      <c r="AR786">
        <v>0</v>
      </c>
      <c r="BA786">
        <v>848.4</v>
      </c>
      <c r="BB786" s="1">
        <v>44999</v>
      </c>
    </row>
    <row r="787" spans="1:54" x14ac:dyDescent="0.25">
      <c r="A787">
        <v>2023</v>
      </c>
      <c r="B787">
        <v>405</v>
      </c>
      <c r="C787" s="1">
        <v>44999</v>
      </c>
      <c r="D787">
        <v>2023</v>
      </c>
      <c r="E787">
        <v>2020</v>
      </c>
      <c r="F787">
        <v>286</v>
      </c>
      <c r="H787" t="s">
        <v>1568</v>
      </c>
      <c r="I787">
        <v>220</v>
      </c>
      <c r="J787">
        <v>0</v>
      </c>
      <c r="K787" t="s">
        <v>285</v>
      </c>
      <c r="S787" t="str">
        <f t="shared" si="77"/>
        <v>31</v>
      </c>
      <c r="T787" t="s">
        <v>122</v>
      </c>
      <c r="W787" t="s">
        <v>1573</v>
      </c>
      <c r="Y787">
        <v>4570</v>
      </c>
      <c r="Z787" t="s">
        <v>1570</v>
      </c>
      <c r="AB787" t="s">
        <v>1571</v>
      </c>
      <c r="AC787" t="s">
        <v>116</v>
      </c>
      <c r="AD787" t="s">
        <v>1572</v>
      </c>
      <c r="AF787">
        <v>2022</v>
      </c>
      <c r="AG787">
        <v>3443</v>
      </c>
      <c r="AH787" t="str">
        <f t="shared" si="78"/>
        <v>7</v>
      </c>
      <c r="AI787" t="s">
        <v>574</v>
      </c>
      <c r="AJ787" s="1">
        <v>44803</v>
      </c>
      <c r="AK787" t="s">
        <v>1573</v>
      </c>
      <c r="AL787" s="2">
        <v>2323</v>
      </c>
      <c r="AN787">
        <v>2023</v>
      </c>
      <c r="AO787">
        <v>300</v>
      </c>
      <c r="AP787" s="2">
        <v>2323</v>
      </c>
      <c r="AQ787">
        <v>0</v>
      </c>
      <c r="AR787">
        <v>0</v>
      </c>
      <c r="BA787">
        <v>2323</v>
      </c>
      <c r="BB787" s="1">
        <v>44999</v>
      </c>
    </row>
    <row r="788" spans="1:54" x14ac:dyDescent="0.25">
      <c r="A788">
        <v>2023</v>
      </c>
      <c r="B788">
        <v>406</v>
      </c>
      <c r="C788" s="1">
        <v>44999</v>
      </c>
      <c r="D788">
        <v>2023</v>
      </c>
      <c r="E788">
        <v>2020</v>
      </c>
      <c r="F788">
        <v>286</v>
      </c>
      <c r="H788" t="s">
        <v>1568</v>
      </c>
      <c r="I788">
        <v>220</v>
      </c>
      <c r="J788">
        <v>0</v>
      </c>
      <c r="K788" t="s">
        <v>285</v>
      </c>
      <c r="S788" t="str">
        <f t="shared" si="77"/>
        <v>31</v>
      </c>
      <c r="T788" t="s">
        <v>122</v>
      </c>
      <c r="W788" t="s">
        <v>1574</v>
      </c>
      <c r="Y788">
        <v>4570</v>
      </c>
      <c r="Z788" t="s">
        <v>1570</v>
      </c>
      <c r="AB788" t="s">
        <v>1571</v>
      </c>
      <c r="AC788" t="s">
        <v>116</v>
      </c>
      <c r="AD788" t="s">
        <v>1572</v>
      </c>
      <c r="AF788">
        <v>2022</v>
      </c>
      <c r="AG788">
        <v>3440</v>
      </c>
      <c r="AH788" t="str">
        <f t="shared" si="78"/>
        <v>7</v>
      </c>
      <c r="AI788" t="s">
        <v>574</v>
      </c>
      <c r="AJ788" s="1">
        <v>44803</v>
      </c>
      <c r="AK788" t="s">
        <v>1574</v>
      </c>
      <c r="AL788">
        <v>859</v>
      </c>
      <c r="AN788">
        <v>2023</v>
      </c>
      <c r="AO788">
        <v>301</v>
      </c>
      <c r="AP788">
        <v>859</v>
      </c>
      <c r="AQ788">
        <v>0</v>
      </c>
      <c r="AR788">
        <v>0</v>
      </c>
      <c r="BA788">
        <v>859</v>
      </c>
      <c r="BB788" s="1">
        <v>44999</v>
      </c>
    </row>
    <row r="789" spans="1:54" x14ac:dyDescent="0.25">
      <c r="A789">
        <v>2023</v>
      </c>
      <c r="B789">
        <v>407</v>
      </c>
      <c r="C789" s="1">
        <v>44999</v>
      </c>
      <c r="D789">
        <v>2023</v>
      </c>
      <c r="E789">
        <v>2020</v>
      </c>
      <c r="F789">
        <v>286</v>
      </c>
      <c r="H789" t="s">
        <v>1568</v>
      </c>
      <c r="I789">
        <v>220</v>
      </c>
      <c r="J789">
        <v>0</v>
      </c>
      <c r="K789" t="s">
        <v>285</v>
      </c>
      <c r="S789" t="str">
        <f t="shared" si="77"/>
        <v>31</v>
      </c>
      <c r="T789" t="s">
        <v>122</v>
      </c>
      <c r="W789" t="s">
        <v>1575</v>
      </c>
      <c r="Y789">
        <v>4288</v>
      </c>
      <c r="Z789" t="s">
        <v>1576</v>
      </c>
      <c r="AB789" t="s">
        <v>1577</v>
      </c>
      <c r="AC789" t="s">
        <v>116</v>
      </c>
      <c r="AD789" t="s">
        <v>1578</v>
      </c>
      <c r="AF789">
        <v>2023</v>
      </c>
      <c r="AG789">
        <v>590</v>
      </c>
      <c r="AH789" t="str">
        <f t="shared" si="78"/>
        <v>7</v>
      </c>
      <c r="AI789" t="s">
        <v>574</v>
      </c>
      <c r="AJ789" s="1">
        <v>44939</v>
      </c>
      <c r="AK789" t="s">
        <v>1575</v>
      </c>
      <c r="AL789">
        <v>264</v>
      </c>
      <c r="AN789">
        <v>2023</v>
      </c>
      <c r="AO789">
        <v>294</v>
      </c>
      <c r="AP789">
        <v>264</v>
      </c>
      <c r="AQ789">
        <v>0</v>
      </c>
      <c r="AR789">
        <v>52.8</v>
      </c>
      <c r="AS789" t="str">
        <f>"1052"</f>
        <v>1052</v>
      </c>
      <c r="AT789">
        <v>264</v>
      </c>
      <c r="AU789">
        <v>52.8</v>
      </c>
      <c r="AV789">
        <v>2023</v>
      </c>
      <c r="AW789">
        <v>215</v>
      </c>
      <c r="AX789">
        <v>620</v>
      </c>
      <c r="AY789">
        <v>0</v>
      </c>
      <c r="AZ789" t="s">
        <v>1579</v>
      </c>
      <c r="BA789">
        <v>264</v>
      </c>
      <c r="BB789" s="1">
        <v>44999</v>
      </c>
    </row>
    <row r="790" spans="1:54" x14ac:dyDescent="0.25">
      <c r="A790">
        <v>2023</v>
      </c>
      <c r="B790">
        <v>408</v>
      </c>
      <c r="C790" s="1">
        <v>44999</v>
      </c>
      <c r="D790">
        <v>2023</v>
      </c>
      <c r="E790">
        <v>2020</v>
      </c>
      <c r="F790">
        <v>286</v>
      </c>
      <c r="H790" t="s">
        <v>1568</v>
      </c>
      <c r="I790">
        <v>220</v>
      </c>
      <c r="J790">
        <v>0</v>
      </c>
      <c r="K790" t="s">
        <v>285</v>
      </c>
      <c r="S790" t="str">
        <f t="shared" si="77"/>
        <v>31</v>
      </c>
      <c r="T790" t="s">
        <v>122</v>
      </c>
      <c r="W790" t="s">
        <v>1580</v>
      </c>
      <c r="Y790">
        <v>4288</v>
      </c>
      <c r="Z790" t="s">
        <v>1576</v>
      </c>
      <c r="AB790" t="s">
        <v>1577</v>
      </c>
      <c r="AC790" t="s">
        <v>116</v>
      </c>
      <c r="AD790" t="s">
        <v>1578</v>
      </c>
      <c r="AF790">
        <v>2023</v>
      </c>
      <c r="AG790">
        <v>598</v>
      </c>
      <c r="AH790" t="str">
        <f t="shared" si="78"/>
        <v>7</v>
      </c>
      <c r="AI790" t="s">
        <v>607</v>
      </c>
      <c r="AJ790" s="1">
        <v>44915</v>
      </c>
      <c r="AK790" t="s">
        <v>1581</v>
      </c>
      <c r="AL790" s="2">
        <v>1159.95</v>
      </c>
      <c r="AN790">
        <v>2023</v>
      </c>
      <c r="AO790">
        <v>295</v>
      </c>
      <c r="AP790" s="2">
        <v>1159.95</v>
      </c>
      <c r="AQ790">
        <v>0</v>
      </c>
      <c r="AR790">
        <v>0</v>
      </c>
      <c r="BA790">
        <v>1159.95</v>
      </c>
      <c r="BB790" s="1">
        <v>45000</v>
      </c>
    </row>
    <row r="791" spans="1:54" x14ac:dyDescent="0.25">
      <c r="A791">
        <v>2023</v>
      </c>
      <c r="B791">
        <v>409</v>
      </c>
      <c r="C791" s="1">
        <v>44999</v>
      </c>
      <c r="D791">
        <v>2023</v>
      </c>
      <c r="E791">
        <v>2020</v>
      </c>
      <c r="F791">
        <v>286</v>
      </c>
      <c r="H791" t="s">
        <v>1568</v>
      </c>
      <c r="I791">
        <v>220</v>
      </c>
      <c r="J791">
        <v>0</v>
      </c>
      <c r="K791" t="s">
        <v>285</v>
      </c>
      <c r="S791" t="str">
        <f t="shared" si="77"/>
        <v>31</v>
      </c>
      <c r="T791" t="s">
        <v>122</v>
      </c>
      <c r="W791" t="s">
        <v>1581</v>
      </c>
      <c r="Y791">
        <v>4618</v>
      </c>
      <c r="Z791" t="s">
        <v>1582</v>
      </c>
      <c r="AA791" t="s">
        <v>1583</v>
      </c>
      <c r="AB791" t="s">
        <v>1584</v>
      </c>
      <c r="AC791" t="s">
        <v>116</v>
      </c>
      <c r="AD791" t="s">
        <v>1585</v>
      </c>
      <c r="AF791">
        <v>2023</v>
      </c>
      <c r="AG791">
        <v>591</v>
      </c>
      <c r="AH791" t="str">
        <f t="shared" si="78"/>
        <v>7</v>
      </c>
      <c r="AI791" t="s">
        <v>607</v>
      </c>
      <c r="AJ791" s="1">
        <v>44945</v>
      </c>
      <c r="AK791" t="s">
        <v>1581</v>
      </c>
      <c r="AL791">
        <v>555.5</v>
      </c>
      <c r="AN791">
        <v>2023</v>
      </c>
      <c r="AO791">
        <v>296</v>
      </c>
      <c r="AP791">
        <v>555.5</v>
      </c>
      <c r="AQ791">
        <v>0</v>
      </c>
      <c r="AR791">
        <v>0</v>
      </c>
      <c r="BA791">
        <v>555.5</v>
      </c>
      <c r="BB791" s="1">
        <v>44999</v>
      </c>
    </row>
    <row r="792" spans="1:54" x14ac:dyDescent="0.25">
      <c r="A792">
        <v>2023</v>
      </c>
      <c r="B792">
        <v>410</v>
      </c>
      <c r="C792" s="1">
        <v>45005</v>
      </c>
      <c r="D792">
        <v>2023</v>
      </c>
      <c r="E792">
        <v>2022</v>
      </c>
      <c r="F792">
        <v>550</v>
      </c>
      <c r="H792" t="s">
        <v>1586</v>
      </c>
      <c r="I792">
        <v>149</v>
      </c>
      <c r="J792">
        <v>0</v>
      </c>
      <c r="K792" t="s">
        <v>277</v>
      </c>
      <c r="R792" t="s">
        <v>1587</v>
      </c>
      <c r="S792" t="str">
        <f>"30"</f>
        <v>30</v>
      </c>
      <c r="T792" t="s">
        <v>78</v>
      </c>
      <c r="W792" t="s">
        <v>1588</v>
      </c>
      <c r="Y792">
        <v>127</v>
      </c>
      <c r="Z792" t="s">
        <v>660</v>
      </c>
      <c r="AB792" t="str">
        <f>"00488410010"</f>
        <v>00488410010</v>
      </c>
      <c r="AC792" t="s">
        <v>116</v>
      </c>
      <c r="AD792" t="s">
        <v>859</v>
      </c>
      <c r="AF792">
        <v>2022</v>
      </c>
      <c r="AG792">
        <v>3818</v>
      </c>
      <c r="AH792" t="str">
        <f t="shared" ref="AH792:AH806" si="79">"1"</f>
        <v>1</v>
      </c>
      <c r="AI792" t="s">
        <v>1589</v>
      </c>
      <c r="AJ792" s="1">
        <v>44907</v>
      </c>
      <c r="AK792" t="s">
        <v>1590</v>
      </c>
      <c r="AL792">
        <v>417.12</v>
      </c>
      <c r="AM792" t="str">
        <f>"8650532095"</f>
        <v>8650532095</v>
      </c>
      <c r="AN792">
        <v>2023</v>
      </c>
      <c r="AO792">
        <v>330</v>
      </c>
      <c r="AP792">
        <v>280.51</v>
      </c>
      <c r="AQ792">
        <v>0</v>
      </c>
      <c r="AR792">
        <v>75.22</v>
      </c>
      <c r="AS792" t="s">
        <v>177</v>
      </c>
      <c r="AT792">
        <v>341.9</v>
      </c>
      <c r="AU792">
        <v>75.22</v>
      </c>
      <c r="AV792">
        <v>2023</v>
      </c>
      <c r="AW792">
        <v>216</v>
      </c>
      <c r="AX792">
        <v>670</v>
      </c>
      <c r="AY792">
        <v>0</v>
      </c>
      <c r="AZ792" t="s">
        <v>1591</v>
      </c>
      <c r="BA792">
        <v>280.51</v>
      </c>
      <c r="BB792" s="1">
        <v>45005</v>
      </c>
    </row>
    <row r="793" spans="1:54" x14ac:dyDescent="0.25">
      <c r="A793">
        <v>2023</v>
      </c>
      <c r="B793">
        <v>411</v>
      </c>
      <c r="C793" s="1">
        <v>45005</v>
      </c>
      <c r="D793">
        <v>2023</v>
      </c>
      <c r="E793">
        <v>2023</v>
      </c>
      <c r="F793">
        <v>163</v>
      </c>
      <c r="H793" t="s">
        <v>1592</v>
      </c>
      <c r="I793">
        <v>149</v>
      </c>
      <c r="J793">
        <v>0</v>
      </c>
      <c r="K793" t="s">
        <v>277</v>
      </c>
      <c r="R793" t="s">
        <v>1593</v>
      </c>
      <c r="S793" t="str">
        <f>"30"</f>
        <v>30</v>
      </c>
      <c r="T793" t="s">
        <v>78</v>
      </c>
      <c r="W793" t="s">
        <v>1594</v>
      </c>
      <c r="Y793">
        <v>127</v>
      </c>
      <c r="Z793" t="s">
        <v>660</v>
      </c>
      <c r="AB793" t="str">
        <f>"00488410010"</f>
        <v>00488410010</v>
      </c>
      <c r="AC793" t="s">
        <v>116</v>
      </c>
      <c r="AD793" t="s">
        <v>859</v>
      </c>
      <c r="AF793">
        <v>2022</v>
      </c>
      <c r="AG793">
        <v>3818</v>
      </c>
      <c r="AH793" t="str">
        <f t="shared" si="79"/>
        <v>1</v>
      </c>
      <c r="AI793" t="s">
        <v>1589</v>
      </c>
      <c r="AJ793" s="1">
        <v>44907</v>
      </c>
      <c r="AK793" t="s">
        <v>1590</v>
      </c>
      <c r="AL793">
        <v>417.12</v>
      </c>
      <c r="AM793" t="str">
        <f>"8650532095"</f>
        <v>8650532095</v>
      </c>
      <c r="AN793">
        <v>2023</v>
      </c>
      <c r="AO793">
        <v>331</v>
      </c>
      <c r="AP793">
        <v>136.61000000000001</v>
      </c>
      <c r="AQ793">
        <v>0</v>
      </c>
      <c r="AR793">
        <v>0</v>
      </c>
      <c r="BA793">
        <v>136.61000000000001</v>
      </c>
      <c r="BB793" s="1">
        <v>45005</v>
      </c>
    </row>
    <row r="794" spans="1:54" x14ac:dyDescent="0.25">
      <c r="A794">
        <v>2023</v>
      </c>
      <c r="B794">
        <v>412</v>
      </c>
      <c r="C794" s="1">
        <v>45005</v>
      </c>
      <c r="D794">
        <v>2023</v>
      </c>
      <c r="E794">
        <v>2023</v>
      </c>
      <c r="F794">
        <v>163</v>
      </c>
      <c r="H794" t="s">
        <v>1592</v>
      </c>
      <c r="I794">
        <v>149</v>
      </c>
      <c r="J794">
        <v>0</v>
      </c>
      <c r="K794" t="s">
        <v>277</v>
      </c>
      <c r="R794" t="s">
        <v>1593</v>
      </c>
      <c r="S794" t="str">
        <f>"30"</f>
        <v>30</v>
      </c>
      <c r="T794" t="s">
        <v>78</v>
      </c>
      <c r="W794" t="s">
        <v>1595</v>
      </c>
      <c r="Y794">
        <v>127</v>
      </c>
      <c r="Z794" t="s">
        <v>660</v>
      </c>
      <c r="AB794" t="str">
        <f>"00488410010"</f>
        <v>00488410010</v>
      </c>
      <c r="AC794" t="s">
        <v>116</v>
      </c>
      <c r="AD794" t="s">
        <v>859</v>
      </c>
      <c r="AF794">
        <v>2023</v>
      </c>
      <c r="AG794">
        <v>354</v>
      </c>
      <c r="AH794" t="str">
        <f t="shared" si="79"/>
        <v>1</v>
      </c>
      <c r="AI794" t="s">
        <v>1596</v>
      </c>
      <c r="AJ794" s="1">
        <v>44966</v>
      </c>
      <c r="AK794" t="s">
        <v>1595</v>
      </c>
      <c r="AL794">
        <v>417.12</v>
      </c>
      <c r="AM794" t="str">
        <f>"9025242674"</f>
        <v>9025242674</v>
      </c>
      <c r="AN794">
        <v>2023</v>
      </c>
      <c r="AO794">
        <v>333</v>
      </c>
      <c r="AP794">
        <v>417.12</v>
      </c>
      <c r="AQ794">
        <v>0</v>
      </c>
      <c r="AR794">
        <v>75.22</v>
      </c>
      <c r="AS794" t="s">
        <v>177</v>
      </c>
      <c r="AT794">
        <v>341.9</v>
      </c>
      <c r="AU794">
        <v>75.22</v>
      </c>
      <c r="AV794">
        <v>2023</v>
      </c>
      <c r="AW794">
        <v>217</v>
      </c>
      <c r="AX794">
        <v>670</v>
      </c>
      <c r="AY794">
        <v>0</v>
      </c>
      <c r="AZ794" t="s">
        <v>1597</v>
      </c>
      <c r="BA794">
        <v>417.12</v>
      </c>
      <c r="BB794" s="1">
        <v>45005</v>
      </c>
    </row>
    <row r="795" spans="1:54" x14ac:dyDescent="0.25">
      <c r="A795">
        <v>2023</v>
      </c>
      <c r="B795">
        <v>413</v>
      </c>
      <c r="C795" s="1">
        <v>45005</v>
      </c>
      <c r="D795">
        <v>2023</v>
      </c>
      <c r="E795">
        <v>2023</v>
      </c>
      <c r="F795">
        <v>161</v>
      </c>
      <c r="H795" t="s">
        <v>1598</v>
      </c>
      <c r="I795">
        <v>270</v>
      </c>
      <c r="J795">
        <v>0</v>
      </c>
      <c r="K795" t="s">
        <v>925</v>
      </c>
      <c r="R795" t="s">
        <v>1599</v>
      </c>
      <c r="S795" t="str">
        <f t="shared" ref="S795:S803" si="80">"31"</f>
        <v>31</v>
      </c>
      <c r="T795" t="s">
        <v>122</v>
      </c>
      <c r="W795" t="s">
        <v>1600</v>
      </c>
      <c r="Y795">
        <v>543</v>
      </c>
      <c r="Z795" t="s">
        <v>1601</v>
      </c>
      <c r="AB795" t="str">
        <f>"02113930289"</f>
        <v>02113930289</v>
      </c>
      <c r="AC795" t="s">
        <v>116</v>
      </c>
      <c r="AD795" t="s">
        <v>1602</v>
      </c>
      <c r="AF795">
        <v>2023</v>
      </c>
      <c r="AG795">
        <v>653</v>
      </c>
      <c r="AH795" t="str">
        <f t="shared" si="79"/>
        <v>1</v>
      </c>
      <c r="AI795" t="s">
        <v>1603</v>
      </c>
      <c r="AJ795" s="1">
        <v>44992</v>
      </c>
      <c r="AK795" t="s">
        <v>1600</v>
      </c>
      <c r="AL795" s="2">
        <v>1166.32</v>
      </c>
      <c r="AN795">
        <v>2023</v>
      </c>
      <c r="AO795">
        <v>338</v>
      </c>
      <c r="AP795" s="2">
        <v>1166.32</v>
      </c>
      <c r="AQ795">
        <v>0</v>
      </c>
      <c r="AR795">
        <v>210.32</v>
      </c>
      <c r="AS795" t="s">
        <v>177</v>
      </c>
      <c r="AT795">
        <v>956</v>
      </c>
      <c r="AU795">
        <v>210.32</v>
      </c>
      <c r="AV795">
        <v>2023</v>
      </c>
      <c r="AW795">
        <v>218</v>
      </c>
      <c r="AX795">
        <v>670</v>
      </c>
      <c r="AY795">
        <v>0</v>
      </c>
      <c r="AZ795" t="s">
        <v>1604</v>
      </c>
      <c r="BA795">
        <v>1166.32</v>
      </c>
      <c r="BB795" s="1">
        <v>45005</v>
      </c>
    </row>
    <row r="796" spans="1:54" x14ac:dyDescent="0.25">
      <c r="A796">
        <v>2023</v>
      </c>
      <c r="B796">
        <v>414</v>
      </c>
      <c r="C796" s="1">
        <v>45005</v>
      </c>
      <c r="D796">
        <v>2023</v>
      </c>
      <c r="E796">
        <v>2023</v>
      </c>
      <c r="F796">
        <v>81</v>
      </c>
      <c r="H796" t="s">
        <v>1605</v>
      </c>
      <c r="I796">
        <v>120</v>
      </c>
      <c r="J796">
        <v>0</v>
      </c>
      <c r="K796" t="s">
        <v>120</v>
      </c>
      <c r="R796" t="s">
        <v>1606</v>
      </c>
      <c r="S796" t="str">
        <f t="shared" si="80"/>
        <v>31</v>
      </c>
      <c r="T796" t="s">
        <v>122</v>
      </c>
      <c r="W796" t="s">
        <v>1607</v>
      </c>
      <c r="Y796">
        <v>1621</v>
      </c>
      <c r="Z796" t="s">
        <v>1217</v>
      </c>
      <c r="AB796" t="str">
        <f>"03753600273"</f>
        <v>03753600273</v>
      </c>
      <c r="AC796" t="s">
        <v>116</v>
      </c>
      <c r="AD796" t="s">
        <v>1218</v>
      </c>
      <c r="AF796">
        <v>2023</v>
      </c>
      <c r="AG796">
        <v>345</v>
      </c>
      <c r="AH796" t="str">
        <f t="shared" si="79"/>
        <v>1</v>
      </c>
      <c r="AI796" t="s">
        <v>1608</v>
      </c>
      <c r="AJ796" s="1">
        <v>44957</v>
      </c>
      <c r="AK796" t="s">
        <v>1609</v>
      </c>
      <c r="AL796" s="2">
        <v>4019.6</v>
      </c>
      <c r="AM796" t="str">
        <f>"8986382282"</f>
        <v>8986382282</v>
      </c>
      <c r="AN796">
        <v>2023</v>
      </c>
      <c r="AO796">
        <v>344</v>
      </c>
      <c r="AP796" s="2">
        <v>2734.94</v>
      </c>
      <c r="AQ796">
        <v>0</v>
      </c>
      <c r="AR796">
        <v>724.85</v>
      </c>
      <c r="AS796" t="s">
        <v>177</v>
      </c>
      <c r="AT796">
        <v>3294.75</v>
      </c>
      <c r="AU796">
        <v>724.85</v>
      </c>
      <c r="AV796">
        <v>2023</v>
      </c>
      <c r="AW796">
        <v>219</v>
      </c>
      <c r="AX796">
        <v>670</v>
      </c>
      <c r="AY796">
        <v>0</v>
      </c>
      <c r="AZ796" t="s">
        <v>1610</v>
      </c>
      <c r="BA796">
        <v>2734.94</v>
      </c>
      <c r="BB796" s="1">
        <v>45005</v>
      </c>
    </row>
    <row r="797" spans="1:54" x14ac:dyDescent="0.25">
      <c r="A797">
        <v>2023</v>
      </c>
      <c r="B797">
        <v>415</v>
      </c>
      <c r="C797" s="1">
        <v>45005</v>
      </c>
      <c r="D797">
        <v>2023</v>
      </c>
      <c r="E797">
        <v>2023</v>
      </c>
      <c r="F797">
        <v>80</v>
      </c>
      <c r="H797" t="s">
        <v>1605</v>
      </c>
      <c r="I797">
        <v>149</v>
      </c>
      <c r="J797">
        <v>0</v>
      </c>
      <c r="K797" t="s">
        <v>277</v>
      </c>
      <c r="R797" t="s">
        <v>1606</v>
      </c>
      <c r="S797" t="str">
        <f t="shared" si="80"/>
        <v>31</v>
      </c>
      <c r="T797" t="s">
        <v>122</v>
      </c>
      <c r="W797" t="s">
        <v>1607</v>
      </c>
      <c r="Y797">
        <v>1621</v>
      </c>
      <c r="Z797" t="s">
        <v>1217</v>
      </c>
      <c r="AB797" t="str">
        <f>"03753600273"</f>
        <v>03753600273</v>
      </c>
      <c r="AC797" t="s">
        <v>116</v>
      </c>
      <c r="AD797" t="s">
        <v>1218</v>
      </c>
      <c r="AF797">
        <v>2023</v>
      </c>
      <c r="AG797">
        <v>345</v>
      </c>
      <c r="AH797" t="str">
        <f t="shared" si="79"/>
        <v>1</v>
      </c>
      <c r="AI797" t="s">
        <v>1608</v>
      </c>
      <c r="AJ797" s="1">
        <v>44957</v>
      </c>
      <c r="AK797" t="s">
        <v>1609</v>
      </c>
      <c r="AL797" s="2">
        <v>4019.6</v>
      </c>
      <c r="AM797" t="str">
        <f>"8986382282"</f>
        <v>8986382282</v>
      </c>
      <c r="AN797">
        <v>2023</v>
      </c>
      <c r="AO797">
        <v>343</v>
      </c>
      <c r="AP797" s="2">
        <v>1284.6600000000001</v>
      </c>
      <c r="AQ797">
        <v>0</v>
      </c>
      <c r="AR797">
        <v>0</v>
      </c>
      <c r="BA797">
        <v>1284.6600000000001</v>
      </c>
      <c r="BB797" s="1">
        <v>45005</v>
      </c>
    </row>
    <row r="798" spans="1:54" x14ac:dyDescent="0.25">
      <c r="A798">
        <v>2023</v>
      </c>
      <c r="B798">
        <v>416</v>
      </c>
      <c r="C798" s="1">
        <v>45005</v>
      </c>
      <c r="D798">
        <v>2023</v>
      </c>
      <c r="E798">
        <v>2023</v>
      </c>
      <c r="F798">
        <v>6</v>
      </c>
      <c r="H798" t="s">
        <v>1611</v>
      </c>
      <c r="I798">
        <v>151</v>
      </c>
      <c r="J798">
        <v>0</v>
      </c>
      <c r="K798" t="s">
        <v>509</v>
      </c>
      <c r="R798" t="s">
        <v>1612</v>
      </c>
      <c r="S798" t="str">
        <f t="shared" si="80"/>
        <v>31</v>
      </c>
      <c r="T798" t="s">
        <v>122</v>
      </c>
      <c r="W798" t="s">
        <v>1613</v>
      </c>
      <c r="Y798">
        <v>3695</v>
      </c>
      <c r="Z798" t="s">
        <v>712</v>
      </c>
      <c r="AB798" t="str">
        <f>"06496050151"</f>
        <v>06496050151</v>
      </c>
      <c r="AC798" t="s">
        <v>116</v>
      </c>
      <c r="AD798" t="s">
        <v>713</v>
      </c>
      <c r="AF798">
        <v>2023</v>
      </c>
      <c r="AG798">
        <v>601</v>
      </c>
      <c r="AH798" t="str">
        <f t="shared" si="79"/>
        <v>1</v>
      </c>
      <c r="AI798" t="str">
        <f>"33163328"</f>
        <v>33163328</v>
      </c>
      <c r="AJ798" s="1">
        <v>44977</v>
      </c>
      <c r="AK798" t="s">
        <v>1613</v>
      </c>
      <c r="AL798">
        <v>864.46</v>
      </c>
      <c r="AM798" t="str">
        <f>"9099744141"</f>
        <v>9099744141</v>
      </c>
      <c r="AN798">
        <v>2023</v>
      </c>
      <c r="AO798">
        <v>339</v>
      </c>
      <c r="AP798">
        <v>864.46</v>
      </c>
      <c r="AQ798">
        <v>0</v>
      </c>
      <c r="AR798">
        <v>155.88999999999999</v>
      </c>
      <c r="AS798" t="s">
        <v>177</v>
      </c>
      <c r="AT798">
        <v>708.57</v>
      </c>
      <c r="AU798">
        <v>155.88999999999999</v>
      </c>
      <c r="AV798">
        <v>2023</v>
      </c>
      <c r="AW798">
        <v>220</v>
      </c>
      <c r="AX798">
        <v>670</v>
      </c>
      <c r="AY798">
        <v>0</v>
      </c>
      <c r="AZ798" t="s">
        <v>1614</v>
      </c>
      <c r="BA798">
        <v>864.46</v>
      </c>
      <c r="BB798" s="1">
        <v>45005</v>
      </c>
    </row>
    <row r="799" spans="1:54" x14ac:dyDescent="0.25">
      <c r="A799">
        <v>2023</v>
      </c>
      <c r="B799">
        <v>416</v>
      </c>
      <c r="C799" s="1">
        <v>45005</v>
      </c>
      <c r="D799">
        <v>2023</v>
      </c>
      <c r="E799">
        <v>2023</v>
      </c>
      <c r="F799">
        <v>6</v>
      </c>
      <c r="H799" t="s">
        <v>1611</v>
      </c>
      <c r="I799">
        <v>151</v>
      </c>
      <c r="J799">
        <v>0</v>
      </c>
      <c r="K799" t="s">
        <v>509</v>
      </c>
      <c r="R799" t="s">
        <v>1612</v>
      </c>
      <c r="S799" t="str">
        <f t="shared" si="80"/>
        <v>31</v>
      </c>
      <c r="T799" t="s">
        <v>122</v>
      </c>
      <c r="W799" t="s">
        <v>1613</v>
      </c>
      <c r="Y799">
        <v>3695</v>
      </c>
      <c r="Z799" t="s">
        <v>712</v>
      </c>
      <c r="AB799" t="str">
        <f>"06496050151"</f>
        <v>06496050151</v>
      </c>
      <c r="AC799" t="s">
        <v>116</v>
      </c>
      <c r="AD799" t="s">
        <v>713</v>
      </c>
      <c r="AF799">
        <v>2023</v>
      </c>
      <c r="AG799">
        <v>602</v>
      </c>
      <c r="AH799" t="str">
        <f t="shared" si="79"/>
        <v>1</v>
      </c>
      <c r="AI799" t="str">
        <f>"33165168"</f>
        <v>33165168</v>
      </c>
      <c r="AJ799" s="1">
        <v>44977</v>
      </c>
      <c r="AK799" t="s">
        <v>1615</v>
      </c>
      <c r="AL799">
        <v>44.59</v>
      </c>
      <c r="AM799" t="str">
        <f>"9099752019"</f>
        <v>9099752019</v>
      </c>
      <c r="AN799">
        <v>2023</v>
      </c>
      <c r="AO799">
        <v>339</v>
      </c>
      <c r="AP799">
        <v>44.59</v>
      </c>
      <c r="AQ799">
        <v>0</v>
      </c>
      <c r="AR799">
        <v>155.88999999999999</v>
      </c>
      <c r="BA799">
        <v>44.59</v>
      </c>
      <c r="BB799" s="1">
        <v>45005</v>
      </c>
    </row>
    <row r="800" spans="1:54" x14ac:dyDescent="0.25">
      <c r="A800">
        <v>2023</v>
      </c>
      <c r="B800">
        <v>417</v>
      </c>
      <c r="C800" s="1">
        <v>45005</v>
      </c>
      <c r="D800">
        <v>2023</v>
      </c>
      <c r="E800">
        <v>2023</v>
      </c>
      <c r="F800">
        <v>7</v>
      </c>
      <c r="H800" t="s">
        <v>1616</v>
      </c>
      <c r="I800">
        <v>151</v>
      </c>
      <c r="J800">
        <v>0</v>
      </c>
      <c r="K800" t="s">
        <v>509</v>
      </c>
      <c r="R800" t="s">
        <v>1617</v>
      </c>
      <c r="S800" t="str">
        <f t="shared" si="80"/>
        <v>31</v>
      </c>
      <c r="T800" t="s">
        <v>122</v>
      </c>
      <c r="W800" t="s">
        <v>1618</v>
      </c>
      <c r="Y800">
        <v>3696</v>
      </c>
      <c r="Z800" t="s">
        <v>704</v>
      </c>
      <c r="AB800" t="str">
        <f>"08083020019"</f>
        <v>08083020019</v>
      </c>
      <c r="AC800" t="s">
        <v>116</v>
      </c>
      <c r="AD800" t="s">
        <v>705</v>
      </c>
      <c r="AF800">
        <v>2023</v>
      </c>
      <c r="AG800">
        <v>362</v>
      </c>
      <c r="AH800" t="str">
        <f t="shared" si="79"/>
        <v>1</v>
      </c>
      <c r="AI800" t="str">
        <f>"0000202310180149"</f>
        <v>0000202310180149</v>
      </c>
      <c r="AJ800" s="1">
        <v>44966</v>
      </c>
      <c r="AK800" t="s">
        <v>1619</v>
      </c>
      <c r="AL800">
        <v>179.51</v>
      </c>
      <c r="AM800" t="str">
        <f>"9006120400"</f>
        <v>9006120400</v>
      </c>
      <c r="AN800">
        <v>2023</v>
      </c>
      <c r="AO800">
        <v>340</v>
      </c>
      <c r="AP800">
        <v>179.51</v>
      </c>
      <c r="AQ800">
        <v>0</v>
      </c>
      <c r="AR800">
        <v>64.739999999999995</v>
      </c>
      <c r="AS800" t="s">
        <v>177</v>
      </c>
      <c r="AT800">
        <v>147.13999999999999</v>
      </c>
      <c r="AU800">
        <v>32.369999999999997</v>
      </c>
      <c r="AV800">
        <v>2023</v>
      </c>
      <c r="AW800">
        <v>221</v>
      </c>
      <c r="AX800">
        <v>670</v>
      </c>
      <c r="AY800">
        <v>0</v>
      </c>
      <c r="AZ800" t="s">
        <v>1620</v>
      </c>
      <c r="BA800">
        <v>179.51</v>
      </c>
      <c r="BB800" s="1">
        <v>45005</v>
      </c>
    </row>
    <row r="801" spans="1:54" x14ac:dyDescent="0.25">
      <c r="A801">
        <v>2023</v>
      </c>
      <c r="B801">
        <v>417</v>
      </c>
      <c r="C801" s="1">
        <v>45005</v>
      </c>
      <c r="D801">
        <v>2023</v>
      </c>
      <c r="E801">
        <v>2023</v>
      </c>
      <c r="F801">
        <v>7</v>
      </c>
      <c r="H801" t="s">
        <v>1616</v>
      </c>
      <c r="I801">
        <v>151</v>
      </c>
      <c r="J801">
        <v>0</v>
      </c>
      <c r="K801" t="s">
        <v>509</v>
      </c>
      <c r="R801" t="s">
        <v>1617</v>
      </c>
      <c r="S801" t="str">
        <f t="shared" si="80"/>
        <v>31</v>
      </c>
      <c r="T801" t="s">
        <v>122</v>
      </c>
      <c r="W801" t="s">
        <v>1618</v>
      </c>
      <c r="Y801">
        <v>3696</v>
      </c>
      <c r="Z801" t="s">
        <v>704</v>
      </c>
      <c r="AB801" t="str">
        <f>"08083020019"</f>
        <v>08083020019</v>
      </c>
      <c r="AC801" t="s">
        <v>116</v>
      </c>
      <c r="AD801" t="s">
        <v>705</v>
      </c>
      <c r="AF801">
        <v>2023</v>
      </c>
      <c r="AG801">
        <v>652</v>
      </c>
      <c r="AH801" t="str">
        <f t="shared" si="79"/>
        <v>1</v>
      </c>
      <c r="AI801" t="str">
        <f>"0000202310304149"</f>
        <v>0000202310304149</v>
      </c>
      <c r="AJ801" s="1">
        <v>44994</v>
      </c>
      <c r="AK801" t="s">
        <v>1621</v>
      </c>
      <c r="AL801">
        <v>179.51</v>
      </c>
      <c r="AM801" t="str">
        <f>"9219825087"</f>
        <v>9219825087</v>
      </c>
      <c r="AN801">
        <v>2023</v>
      </c>
      <c r="AO801">
        <v>340</v>
      </c>
      <c r="AP801">
        <v>179.51</v>
      </c>
      <c r="AQ801">
        <v>0</v>
      </c>
      <c r="AR801">
        <v>64.739999999999995</v>
      </c>
      <c r="AS801" t="s">
        <v>177</v>
      </c>
      <c r="AT801">
        <v>147.13999999999999</v>
      </c>
      <c r="AU801">
        <v>32.369999999999997</v>
      </c>
      <c r="AV801">
        <v>2023</v>
      </c>
      <c r="AW801">
        <v>221</v>
      </c>
      <c r="AX801">
        <v>670</v>
      </c>
      <c r="AY801">
        <v>0</v>
      </c>
      <c r="AZ801" t="s">
        <v>1620</v>
      </c>
      <c r="BA801">
        <v>179.51</v>
      </c>
      <c r="BB801" s="1">
        <v>45005</v>
      </c>
    </row>
    <row r="802" spans="1:54" x14ac:dyDescent="0.25">
      <c r="A802">
        <v>2023</v>
      </c>
      <c r="B802">
        <v>418</v>
      </c>
      <c r="C802" s="1">
        <v>45005</v>
      </c>
      <c r="D802">
        <v>2023</v>
      </c>
      <c r="E802">
        <v>2022</v>
      </c>
      <c r="F802">
        <v>682</v>
      </c>
      <c r="H802" t="s">
        <v>1622</v>
      </c>
      <c r="I802">
        <v>120</v>
      </c>
      <c r="J802">
        <v>0</v>
      </c>
      <c r="K802" t="s">
        <v>120</v>
      </c>
      <c r="R802" t="s">
        <v>1623</v>
      </c>
      <c r="S802" t="str">
        <f t="shared" si="80"/>
        <v>31</v>
      </c>
      <c r="T802" t="s">
        <v>122</v>
      </c>
      <c r="W802" t="s">
        <v>1624</v>
      </c>
      <c r="Y802">
        <v>4319</v>
      </c>
      <c r="Z802" t="s">
        <v>314</v>
      </c>
      <c r="AB802" t="str">
        <f>"02799730243"</f>
        <v>02799730243</v>
      </c>
      <c r="AC802" t="s">
        <v>116</v>
      </c>
      <c r="AD802" t="s">
        <v>315</v>
      </c>
      <c r="AF802">
        <v>2023</v>
      </c>
      <c r="AG802">
        <v>308</v>
      </c>
      <c r="AH802" t="str">
        <f t="shared" si="79"/>
        <v>1</v>
      </c>
      <c r="AI802" t="s">
        <v>1625</v>
      </c>
      <c r="AJ802" s="1">
        <v>44957</v>
      </c>
      <c r="AK802" t="s">
        <v>1624</v>
      </c>
      <c r="AL802" s="2">
        <v>1056.92</v>
      </c>
      <c r="AM802" t="str">
        <f>"8936400238"</f>
        <v>8936400238</v>
      </c>
      <c r="AN802">
        <v>2023</v>
      </c>
      <c r="AO802">
        <v>306</v>
      </c>
      <c r="AP802" s="2">
        <v>1056.92</v>
      </c>
      <c r="AQ802">
        <v>0</v>
      </c>
      <c r="AR802">
        <v>190.59</v>
      </c>
      <c r="AS802" t="s">
        <v>177</v>
      </c>
      <c r="AT802">
        <v>866.33</v>
      </c>
      <c r="AU802">
        <v>190.59</v>
      </c>
      <c r="AV802">
        <v>2023</v>
      </c>
      <c r="AW802">
        <v>222</v>
      </c>
      <c r="AX802">
        <v>670</v>
      </c>
      <c r="AY802">
        <v>0</v>
      </c>
      <c r="AZ802" t="s">
        <v>1626</v>
      </c>
      <c r="BA802">
        <v>1056.92</v>
      </c>
      <c r="BB802" s="1">
        <v>45005</v>
      </c>
    </row>
    <row r="803" spans="1:54" x14ac:dyDescent="0.25">
      <c r="A803">
        <v>2023</v>
      </c>
      <c r="B803">
        <v>419</v>
      </c>
      <c r="C803" s="1">
        <v>45005</v>
      </c>
      <c r="D803">
        <v>2023</v>
      </c>
      <c r="E803">
        <v>2023</v>
      </c>
      <c r="F803">
        <v>86</v>
      </c>
      <c r="H803" t="s">
        <v>1627</v>
      </c>
      <c r="I803">
        <v>149</v>
      </c>
      <c r="J803">
        <v>0</v>
      </c>
      <c r="K803" t="s">
        <v>277</v>
      </c>
      <c r="R803" t="s">
        <v>1628</v>
      </c>
      <c r="S803" t="str">
        <f t="shared" si="80"/>
        <v>31</v>
      </c>
      <c r="T803" t="s">
        <v>122</v>
      </c>
      <c r="W803" t="s">
        <v>1629</v>
      </c>
      <c r="Y803">
        <v>4319</v>
      </c>
      <c r="Z803" t="s">
        <v>314</v>
      </c>
      <c r="AB803" t="str">
        <f>"02799730243"</f>
        <v>02799730243</v>
      </c>
      <c r="AC803" t="s">
        <v>116</v>
      </c>
      <c r="AD803" t="s">
        <v>315</v>
      </c>
      <c r="AF803">
        <v>2023</v>
      </c>
      <c r="AG803">
        <v>309</v>
      </c>
      <c r="AH803" t="str">
        <f t="shared" si="79"/>
        <v>1</v>
      </c>
      <c r="AI803" t="s">
        <v>1630</v>
      </c>
      <c r="AJ803" s="1">
        <v>44957</v>
      </c>
      <c r="AK803" t="s">
        <v>1629</v>
      </c>
      <c r="AL803">
        <v>615.39</v>
      </c>
      <c r="AM803" t="str">
        <f>"8936407592"</f>
        <v>8936407592</v>
      </c>
      <c r="AN803">
        <v>2023</v>
      </c>
      <c r="AO803">
        <v>307</v>
      </c>
      <c r="AP803">
        <v>615.39</v>
      </c>
      <c r="AQ803">
        <v>0</v>
      </c>
      <c r="AR803">
        <v>110.97</v>
      </c>
      <c r="AS803" t="s">
        <v>177</v>
      </c>
      <c r="AT803">
        <v>504.42</v>
      </c>
      <c r="AU803">
        <v>110.97</v>
      </c>
      <c r="AV803">
        <v>2023</v>
      </c>
      <c r="AW803">
        <v>223</v>
      </c>
      <c r="AX803">
        <v>670</v>
      </c>
      <c r="AY803">
        <v>0</v>
      </c>
      <c r="AZ803" t="s">
        <v>1631</v>
      </c>
      <c r="BA803">
        <v>615.39</v>
      </c>
      <c r="BB803" s="1">
        <v>45005</v>
      </c>
    </row>
    <row r="804" spans="1:54" x14ac:dyDescent="0.25">
      <c r="A804">
        <v>2023</v>
      </c>
      <c r="B804">
        <v>420</v>
      </c>
      <c r="C804" s="1">
        <v>45005</v>
      </c>
      <c r="D804">
        <v>2023</v>
      </c>
      <c r="E804">
        <v>2022</v>
      </c>
      <c r="F804">
        <v>696</v>
      </c>
      <c r="H804" t="s">
        <v>1333</v>
      </c>
      <c r="I804">
        <v>140</v>
      </c>
      <c r="J804">
        <v>0</v>
      </c>
      <c r="K804" t="s">
        <v>261</v>
      </c>
      <c r="R804" t="s">
        <v>1334</v>
      </c>
      <c r="S804" t="str">
        <f>"30"</f>
        <v>30</v>
      </c>
      <c r="T804" t="s">
        <v>78</v>
      </c>
      <c r="W804" t="s">
        <v>1632</v>
      </c>
      <c r="Y804">
        <v>3478</v>
      </c>
      <c r="Z804" t="s">
        <v>264</v>
      </c>
      <c r="AB804" t="s">
        <v>265</v>
      </c>
      <c r="AC804" t="s">
        <v>116</v>
      </c>
      <c r="AD804" t="s">
        <v>266</v>
      </c>
      <c r="AF804">
        <v>2023</v>
      </c>
      <c r="AG804">
        <v>597</v>
      </c>
      <c r="AH804" t="str">
        <f t="shared" si="79"/>
        <v>1</v>
      </c>
      <c r="AI804" t="s">
        <v>267</v>
      </c>
      <c r="AJ804" s="1">
        <v>44981</v>
      </c>
      <c r="AK804" t="s">
        <v>1632</v>
      </c>
      <c r="AL804" s="2">
        <v>5214.91</v>
      </c>
      <c r="AN804">
        <v>2023</v>
      </c>
      <c r="AO804">
        <v>291</v>
      </c>
      <c r="AP804" s="2">
        <v>5214.91</v>
      </c>
      <c r="AQ804">
        <v>0</v>
      </c>
      <c r="AR804">
        <v>782</v>
      </c>
      <c r="AS804" t="str">
        <f>"1040"</f>
        <v>1040</v>
      </c>
      <c r="AT804">
        <v>3910</v>
      </c>
      <c r="AU804">
        <v>782</v>
      </c>
      <c r="AV804">
        <v>2023</v>
      </c>
      <c r="AW804">
        <v>224</v>
      </c>
      <c r="AX804">
        <v>620</v>
      </c>
      <c r="AY804">
        <v>0</v>
      </c>
      <c r="AZ804" t="s">
        <v>1633</v>
      </c>
      <c r="BA804">
        <v>5214.91</v>
      </c>
      <c r="BB804" s="1">
        <v>45005</v>
      </c>
    </row>
    <row r="805" spans="1:54" x14ac:dyDescent="0.25">
      <c r="A805">
        <v>2023</v>
      </c>
      <c r="B805">
        <v>421</v>
      </c>
      <c r="C805" s="1">
        <v>45005</v>
      </c>
      <c r="D805">
        <v>2023</v>
      </c>
      <c r="E805">
        <v>2022</v>
      </c>
      <c r="F805">
        <v>696</v>
      </c>
      <c r="H805" t="s">
        <v>1333</v>
      </c>
      <c r="I805">
        <v>140</v>
      </c>
      <c r="J805">
        <v>0</v>
      </c>
      <c r="K805" t="s">
        <v>261</v>
      </c>
      <c r="R805" t="s">
        <v>1334</v>
      </c>
      <c r="S805" t="str">
        <f>"30"</f>
        <v>30</v>
      </c>
      <c r="T805" t="s">
        <v>78</v>
      </c>
      <c r="W805" t="s">
        <v>1634</v>
      </c>
      <c r="Y805">
        <v>3478</v>
      </c>
      <c r="Z805" t="s">
        <v>264</v>
      </c>
      <c r="AB805" t="s">
        <v>265</v>
      </c>
      <c r="AC805" t="s">
        <v>116</v>
      </c>
      <c r="AD805" t="s">
        <v>266</v>
      </c>
      <c r="AF805">
        <v>2023</v>
      </c>
      <c r="AG805">
        <v>596</v>
      </c>
      <c r="AH805" t="str">
        <f t="shared" si="79"/>
        <v>1</v>
      </c>
      <c r="AI805" t="s">
        <v>267</v>
      </c>
      <c r="AJ805" s="1">
        <v>44981</v>
      </c>
      <c r="AK805" t="s">
        <v>1635</v>
      </c>
      <c r="AL805" s="2">
        <v>4694.7</v>
      </c>
      <c r="AN805">
        <v>2023</v>
      </c>
      <c r="AO805">
        <v>292</v>
      </c>
      <c r="AP805" s="2">
        <v>4694.7</v>
      </c>
      <c r="AQ805">
        <v>0</v>
      </c>
      <c r="AR805">
        <v>700</v>
      </c>
      <c r="AS805" t="str">
        <f>"1040"</f>
        <v>1040</v>
      </c>
      <c r="AT805">
        <v>3500</v>
      </c>
      <c r="AU805">
        <v>700</v>
      </c>
      <c r="AV805">
        <v>2023</v>
      </c>
      <c r="AW805">
        <v>225</v>
      </c>
      <c r="AX805">
        <v>620</v>
      </c>
      <c r="AY805">
        <v>0</v>
      </c>
      <c r="AZ805" t="s">
        <v>1636</v>
      </c>
      <c r="BA805">
        <v>4694.7</v>
      </c>
      <c r="BB805" s="1">
        <v>45005</v>
      </c>
    </row>
    <row r="806" spans="1:54" x14ac:dyDescent="0.25">
      <c r="A806">
        <v>2023</v>
      </c>
      <c r="B806">
        <v>422</v>
      </c>
      <c r="C806" s="1">
        <v>45005</v>
      </c>
      <c r="D806">
        <v>2023</v>
      </c>
      <c r="E806">
        <v>2023</v>
      </c>
      <c r="F806">
        <v>159</v>
      </c>
      <c r="H806" t="s">
        <v>1637</v>
      </c>
      <c r="I806">
        <v>140</v>
      </c>
      <c r="J806">
        <v>0</v>
      </c>
      <c r="K806" t="s">
        <v>261</v>
      </c>
      <c r="R806" t="s">
        <v>1638</v>
      </c>
      <c r="S806" t="str">
        <f>"30"</f>
        <v>30</v>
      </c>
      <c r="T806" t="s">
        <v>78</v>
      </c>
      <c r="W806" t="s">
        <v>1639</v>
      </c>
      <c r="Y806">
        <v>4266</v>
      </c>
      <c r="Z806" t="s">
        <v>1640</v>
      </c>
      <c r="AA806" t="s">
        <v>1641</v>
      </c>
      <c r="AB806" t="s">
        <v>1642</v>
      </c>
      <c r="AC806" t="s">
        <v>116</v>
      </c>
      <c r="AD806" t="s">
        <v>1643</v>
      </c>
      <c r="AF806">
        <v>2023</v>
      </c>
      <c r="AG806">
        <v>594</v>
      </c>
      <c r="AH806" t="str">
        <f t="shared" si="79"/>
        <v>1</v>
      </c>
      <c r="AI806" t="s">
        <v>267</v>
      </c>
      <c r="AJ806" s="1">
        <v>44988</v>
      </c>
      <c r="AK806" t="s">
        <v>1639</v>
      </c>
      <c r="AL806" s="2">
        <v>4072.89</v>
      </c>
      <c r="AN806">
        <v>2023</v>
      </c>
      <c r="AO806">
        <v>293</v>
      </c>
      <c r="AP806" s="2">
        <v>4072.89</v>
      </c>
      <c r="AQ806">
        <v>0</v>
      </c>
      <c r="AR806">
        <v>602.6</v>
      </c>
      <c r="AS806" t="str">
        <f>"1040"</f>
        <v>1040</v>
      </c>
      <c r="AT806">
        <v>3013</v>
      </c>
      <c r="AU806">
        <v>602.6</v>
      </c>
      <c r="AV806">
        <v>2023</v>
      </c>
      <c r="AW806">
        <v>226</v>
      </c>
      <c r="AX806">
        <v>620</v>
      </c>
      <c r="AY806">
        <v>0</v>
      </c>
      <c r="AZ806" t="s">
        <v>1644</v>
      </c>
      <c r="BA806">
        <v>4072.89</v>
      </c>
      <c r="BB806" s="1">
        <v>45005</v>
      </c>
    </row>
    <row r="807" spans="1:54" x14ac:dyDescent="0.25">
      <c r="A807">
        <v>2023</v>
      </c>
      <c r="B807">
        <v>423</v>
      </c>
      <c r="C807" s="1">
        <v>45006</v>
      </c>
      <c r="D807">
        <v>2023</v>
      </c>
      <c r="E807">
        <v>2023</v>
      </c>
      <c r="F807">
        <v>68</v>
      </c>
      <c r="H807" t="s">
        <v>82</v>
      </c>
      <c r="I807">
        <v>420</v>
      </c>
      <c r="J807">
        <v>0</v>
      </c>
      <c r="K807" t="s">
        <v>83</v>
      </c>
      <c r="S807" t="str">
        <f>"31"</f>
        <v>31</v>
      </c>
      <c r="T807" t="s">
        <v>122</v>
      </c>
      <c r="W807" t="s">
        <v>1645</v>
      </c>
      <c r="Y807">
        <v>1765</v>
      </c>
      <c r="Z807" t="s">
        <v>85</v>
      </c>
      <c r="AC807" t="s">
        <v>67</v>
      </c>
      <c r="AF807">
        <v>2023</v>
      </c>
      <c r="AG807">
        <v>655</v>
      </c>
      <c r="AH807" t="s">
        <v>73</v>
      </c>
      <c r="AI807" t="str">
        <f t="shared" ref="AI807:AI815" si="81">"66"</f>
        <v>66</v>
      </c>
      <c r="AJ807" s="1">
        <v>45001</v>
      </c>
      <c r="AK807" t="s">
        <v>1646</v>
      </c>
      <c r="AL807" s="2">
        <v>62589.16</v>
      </c>
      <c r="AP807" s="2">
        <v>61389.16</v>
      </c>
      <c r="AQ807">
        <v>0</v>
      </c>
      <c r="AR807">
        <v>0</v>
      </c>
      <c r="BA807">
        <v>61389.16</v>
      </c>
      <c r="BB807" s="1">
        <v>45006</v>
      </c>
    </row>
    <row r="808" spans="1:54" x14ac:dyDescent="0.25">
      <c r="A808">
        <v>2023</v>
      </c>
      <c r="B808">
        <v>424</v>
      </c>
      <c r="C808" s="1">
        <v>45006</v>
      </c>
      <c r="D808">
        <v>2023</v>
      </c>
      <c r="E808">
        <v>2023</v>
      </c>
      <c r="F808">
        <v>67</v>
      </c>
      <c r="H808" t="s">
        <v>87</v>
      </c>
      <c r="I808">
        <v>420</v>
      </c>
      <c r="J808">
        <v>0</v>
      </c>
      <c r="K808" t="s">
        <v>83</v>
      </c>
      <c r="S808" t="str">
        <f>"31"</f>
        <v>31</v>
      </c>
      <c r="T808" t="s">
        <v>122</v>
      </c>
      <c r="W808" t="s">
        <v>1647</v>
      </c>
      <c r="Y808">
        <v>1765</v>
      </c>
      <c r="Z808" t="s">
        <v>85</v>
      </c>
      <c r="AC808" t="s">
        <v>67</v>
      </c>
      <c r="AF808">
        <v>2023</v>
      </c>
      <c r="AG808">
        <v>655</v>
      </c>
      <c r="AH808" t="s">
        <v>73</v>
      </c>
      <c r="AI808" t="str">
        <f t="shared" si="81"/>
        <v>66</v>
      </c>
      <c r="AJ808" s="1">
        <v>45001</v>
      </c>
      <c r="AK808" t="s">
        <v>1646</v>
      </c>
      <c r="AL808" s="2">
        <v>62589.16</v>
      </c>
      <c r="AP808" s="2">
        <v>1200</v>
      </c>
      <c r="AQ808">
        <v>0</v>
      </c>
      <c r="AR808">
        <v>0</v>
      </c>
      <c r="BA808">
        <v>1200</v>
      </c>
      <c r="BB808" s="1">
        <v>45006</v>
      </c>
    </row>
    <row r="809" spans="1:54" x14ac:dyDescent="0.25">
      <c r="A809">
        <v>2023</v>
      </c>
      <c r="B809">
        <v>425</v>
      </c>
      <c r="C809" s="1">
        <v>45006</v>
      </c>
      <c r="D809">
        <v>2023</v>
      </c>
      <c r="E809">
        <v>2023</v>
      </c>
      <c r="F809">
        <v>28</v>
      </c>
      <c r="H809" t="s">
        <v>798</v>
      </c>
      <c r="I809">
        <v>116</v>
      </c>
      <c r="J809">
        <v>0</v>
      </c>
      <c r="K809" t="s">
        <v>90</v>
      </c>
      <c r="S809" t="str">
        <f t="shared" ref="S809:S824" si="82">"30"</f>
        <v>30</v>
      </c>
      <c r="T809" t="s">
        <v>78</v>
      </c>
      <c r="W809" t="s">
        <v>1648</v>
      </c>
      <c r="Y809">
        <v>184</v>
      </c>
      <c r="Z809" t="s">
        <v>92</v>
      </c>
      <c r="AC809" t="s">
        <v>67</v>
      </c>
      <c r="AF809">
        <v>2023</v>
      </c>
      <c r="AG809">
        <v>656</v>
      </c>
      <c r="AH809" t="s">
        <v>73</v>
      </c>
      <c r="AI809" t="str">
        <f t="shared" si="81"/>
        <v>66</v>
      </c>
      <c r="AJ809" s="1">
        <v>45001</v>
      </c>
      <c r="AK809" t="s">
        <v>1649</v>
      </c>
      <c r="AL809" s="2">
        <v>63683</v>
      </c>
      <c r="AP809" s="2">
        <v>45892.1</v>
      </c>
      <c r="AQ809">
        <v>0</v>
      </c>
      <c r="AR809">
        <v>0</v>
      </c>
      <c r="BA809">
        <v>45892.1</v>
      </c>
      <c r="BB809" s="1">
        <v>45006</v>
      </c>
    </row>
    <row r="810" spans="1:54" x14ac:dyDescent="0.25">
      <c r="A810">
        <v>2023</v>
      </c>
      <c r="B810">
        <v>426</v>
      </c>
      <c r="C810" s="1">
        <v>45006</v>
      </c>
      <c r="D810">
        <v>2023</v>
      </c>
      <c r="E810">
        <v>2023</v>
      </c>
      <c r="F810">
        <v>66</v>
      </c>
      <c r="H810" t="s">
        <v>482</v>
      </c>
      <c r="I810">
        <v>400</v>
      </c>
      <c r="J810">
        <v>0</v>
      </c>
      <c r="K810" t="s">
        <v>95</v>
      </c>
      <c r="S810" t="str">
        <f t="shared" si="82"/>
        <v>30</v>
      </c>
      <c r="T810" t="s">
        <v>78</v>
      </c>
      <c r="W810" t="s">
        <v>1650</v>
      </c>
      <c r="Y810">
        <v>184</v>
      </c>
      <c r="Z810" t="s">
        <v>92</v>
      </c>
      <c r="AC810" t="s">
        <v>67</v>
      </c>
      <c r="AF810">
        <v>2023</v>
      </c>
      <c r="AG810">
        <v>656</v>
      </c>
      <c r="AH810" t="s">
        <v>73</v>
      </c>
      <c r="AI810" t="str">
        <f t="shared" si="81"/>
        <v>66</v>
      </c>
      <c r="AJ810" s="1">
        <v>45001</v>
      </c>
      <c r="AK810" t="s">
        <v>1649</v>
      </c>
      <c r="AL810" s="2">
        <v>63683</v>
      </c>
      <c r="AP810" s="2">
        <v>14081.9</v>
      </c>
      <c r="AQ810">
        <v>0</v>
      </c>
      <c r="AR810">
        <v>0</v>
      </c>
      <c r="BA810">
        <v>14081.9</v>
      </c>
      <c r="BB810" s="1">
        <v>45006</v>
      </c>
    </row>
    <row r="811" spans="1:54" x14ac:dyDescent="0.25">
      <c r="A811">
        <v>2023</v>
      </c>
      <c r="B811">
        <v>427</v>
      </c>
      <c r="C811" s="1">
        <v>45006</v>
      </c>
      <c r="D811">
        <v>2023</v>
      </c>
      <c r="E811">
        <v>2023</v>
      </c>
      <c r="F811">
        <v>38</v>
      </c>
      <c r="H811" t="s">
        <v>224</v>
      </c>
      <c r="I811">
        <v>100</v>
      </c>
      <c r="J811">
        <v>0</v>
      </c>
      <c r="K811" t="s">
        <v>77</v>
      </c>
      <c r="S811" t="str">
        <f t="shared" si="82"/>
        <v>30</v>
      </c>
      <c r="T811" t="s">
        <v>78</v>
      </c>
      <c r="W811" t="s">
        <v>1651</v>
      </c>
      <c r="Y811">
        <v>184</v>
      </c>
      <c r="Z811" t="s">
        <v>92</v>
      </c>
      <c r="AC811" t="s">
        <v>67</v>
      </c>
      <c r="AF811">
        <v>2023</v>
      </c>
      <c r="AG811">
        <v>656</v>
      </c>
      <c r="AH811" t="s">
        <v>73</v>
      </c>
      <c r="AI811" t="str">
        <f t="shared" si="81"/>
        <v>66</v>
      </c>
      <c r="AJ811" s="1">
        <v>45001</v>
      </c>
      <c r="AK811" t="s">
        <v>1649</v>
      </c>
      <c r="AL811" s="2">
        <v>63683</v>
      </c>
      <c r="AP811">
        <v>602.72</v>
      </c>
      <c r="AQ811">
        <v>0</v>
      </c>
      <c r="AR811">
        <v>0</v>
      </c>
      <c r="BA811">
        <v>602.72</v>
      </c>
      <c r="BB811" s="1">
        <v>45006</v>
      </c>
    </row>
    <row r="812" spans="1:54" x14ac:dyDescent="0.25">
      <c r="A812">
        <v>2023</v>
      </c>
      <c r="B812">
        <v>428</v>
      </c>
      <c r="C812" s="1">
        <v>45006</v>
      </c>
      <c r="D812">
        <v>2023</v>
      </c>
      <c r="E812">
        <v>2022</v>
      </c>
      <c r="F812">
        <v>23</v>
      </c>
      <c r="H812" t="s">
        <v>228</v>
      </c>
      <c r="I812">
        <v>104</v>
      </c>
      <c r="J812">
        <v>0</v>
      </c>
      <c r="K812" t="s">
        <v>229</v>
      </c>
      <c r="S812" t="str">
        <f t="shared" si="82"/>
        <v>30</v>
      </c>
      <c r="T812" t="s">
        <v>78</v>
      </c>
      <c r="W812" t="s">
        <v>1652</v>
      </c>
      <c r="Y812">
        <v>184</v>
      </c>
      <c r="Z812" t="s">
        <v>92</v>
      </c>
      <c r="AC812" t="s">
        <v>67</v>
      </c>
      <c r="AF812">
        <v>2023</v>
      </c>
      <c r="AG812">
        <v>656</v>
      </c>
      <c r="AH812" t="s">
        <v>73</v>
      </c>
      <c r="AI812" t="str">
        <f t="shared" si="81"/>
        <v>66</v>
      </c>
      <c r="AJ812" s="1">
        <v>45001</v>
      </c>
      <c r="AK812" t="s">
        <v>1649</v>
      </c>
      <c r="AL812" s="2">
        <v>63683</v>
      </c>
      <c r="AP812" s="2">
        <v>1869.96</v>
      </c>
      <c r="AQ812">
        <v>0</v>
      </c>
      <c r="AR812">
        <v>0</v>
      </c>
      <c r="BA812">
        <v>1869.96</v>
      </c>
      <c r="BB812" s="1">
        <v>45006</v>
      </c>
    </row>
    <row r="813" spans="1:54" x14ac:dyDescent="0.25">
      <c r="A813">
        <v>2023</v>
      </c>
      <c r="B813">
        <v>429</v>
      </c>
      <c r="C813" s="1">
        <v>45006</v>
      </c>
      <c r="D813">
        <v>2023</v>
      </c>
      <c r="E813">
        <v>2023</v>
      </c>
      <c r="F813">
        <v>66</v>
      </c>
      <c r="H813" t="s">
        <v>482</v>
      </c>
      <c r="I813">
        <v>400</v>
      </c>
      <c r="J813">
        <v>0</v>
      </c>
      <c r="K813" t="s">
        <v>95</v>
      </c>
      <c r="S813" t="str">
        <f t="shared" si="82"/>
        <v>30</v>
      </c>
      <c r="T813" t="s">
        <v>78</v>
      </c>
      <c r="W813" t="s">
        <v>1651</v>
      </c>
      <c r="Y813">
        <v>184</v>
      </c>
      <c r="Z813" t="s">
        <v>92</v>
      </c>
      <c r="AC813" t="s">
        <v>67</v>
      </c>
      <c r="AF813">
        <v>2023</v>
      </c>
      <c r="AG813">
        <v>656</v>
      </c>
      <c r="AH813" t="s">
        <v>73</v>
      </c>
      <c r="AI813" t="str">
        <f t="shared" si="81"/>
        <v>66</v>
      </c>
      <c r="AJ813" s="1">
        <v>45001</v>
      </c>
      <c r="AK813" t="s">
        <v>1649</v>
      </c>
      <c r="AL813" s="2">
        <v>63683</v>
      </c>
      <c r="AP813" s="2">
        <v>1236.32</v>
      </c>
      <c r="AQ813">
        <v>0</v>
      </c>
      <c r="AR813">
        <v>0</v>
      </c>
      <c r="BA813">
        <v>1236.32</v>
      </c>
      <c r="BB813" s="1">
        <v>45006</v>
      </c>
    </row>
    <row r="814" spans="1:54" x14ac:dyDescent="0.25">
      <c r="A814">
        <v>2023</v>
      </c>
      <c r="B814">
        <v>430</v>
      </c>
      <c r="C814" s="1">
        <v>45006</v>
      </c>
      <c r="D814">
        <v>2023</v>
      </c>
      <c r="E814">
        <v>2023</v>
      </c>
      <c r="F814">
        <v>28</v>
      </c>
      <c r="H814" t="s">
        <v>798</v>
      </c>
      <c r="I814">
        <v>116</v>
      </c>
      <c r="J814">
        <v>0</v>
      </c>
      <c r="K814" t="s">
        <v>90</v>
      </c>
      <c r="S814" t="str">
        <f t="shared" si="82"/>
        <v>30</v>
      </c>
      <c r="T814" t="s">
        <v>78</v>
      </c>
      <c r="W814" t="s">
        <v>1653</v>
      </c>
      <c r="Y814">
        <v>185</v>
      </c>
      <c r="Z814" t="s">
        <v>99</v>
      </c>
      <c r="AB814" t="str">
        <f>"97095380586"</f>
        <v>97095380586</v>
      </c>
      <c r="AC814" t="s">
        <v>67</v>
      </c>
      <c r="AF814">
        <v>2023</v>
      </c>
      <c r="AG814">
        <v>657</v>
      </c>
      <c r="AH814" t="s">
        <v>73</v>
      </c>
      <c r="AI814" t="str">
        <f t="shared" si="81"/>
        <v>66</v>
      </c>
      <c r="AJ814" s="1">
        <v>45001</v>
      </c>
      <c r="AK814" t="s">
        <v>1654</v>
      </c>
      <c r="AL814">
        <v>200.84</v>
      </c>
      <c r="AP814">
        <v>173.14</v>
      </c>
      <c r="AQ814">
        <v>0</v>
      </c>
      <c r="AR814">
        <v>0</v>
      </c>
      <c r="BA814">
        <v>173.14</v>
      </c>
      <c r="BB814" s="1">
        <v>45006</v>
      </c>
    </row>
    <row r="815" spans="1:54" x14ac:dyDescent="0.25">
      <c r="A815">
        <v>2023</v>
      </c>
      <c r="B815">
        <v>431</v>
      </c>
      <c r="C815" s="1">
        <v>45006</v>
      </c>
      <c r="D815">
        <v>2023</v>
      </c>
      <c r="E815">
        <v>2023</v>
      </c>
      <c r="F815">
        <v>66</v>
      </c>
      <c r="H815" t="s">
        <v>482</v>
      </c>
      <c r="I815">
        <v>400</v>
      </c>
      <c r="J815">
        <v>0</v>
      </c>
      <c r="K815" t="s">
        <v>95</v>
      </c>
      <c r="S815" t="str">
        <f t="shared" si="82"/>
        <v>30</v>
      </c>
      <c r="T815" t="s">
        <v>78</v>
      </c>
      <c r="W815" t="s">
        <v>1650</v>
      </c>
      <c r="Y815">
        <v>185</v>
      </c>
      <c r="Z815" t="s">
        <v>99</v>
      </c>
      <c r="AB815" t="str">
        <f>"97095380586"</f>
        <v>97095380586</v>
      </c>
      <c r="AC815" t="s">
        <v>67</v>
      </c>
      <c r="AF815">
        <v>2023</v>
      </c>
      <c r="AG815">
        <v>657</v>
      </c>
      <c r="AH815" t="s">
        <v>73</v>
      </c>
      <c r="AI815" t="str">
        <f t="shared" si="81"/>
        <v>66</v>
      </c>
      <c r="AJ815" s="1">
        <v>45001</v>
      </c>
      <c r="AK815" t="s">
        <v>1654</v>
      </c>
      <c r="AL815">
        <v>200.84</v>
      </c>
      <c r="AP815">
        <v>27.7</v>
      </c>
      <c r="AQ815">
        <v>0</v>
      </c>
      <c r="AR815">
        <v>0</v>
      </c>
      <c r="BA815">
        <v>27.7</v>
      </c>
      <c r="BB815" s="1">
        <v>45006</v>
      </c>
    </row>
    <row r="816" spans="1:54" x14ac:dyDescent="0.25">
      <c r="A816">
        <v>2023</v>
      </c>
      <c r="B816">
        <v>432</v>
      </c>
      <c r="C816" s="1">
        <v>45006</v>
      </c>
      <c r="D816">
        <v>2023</v>
      </c>
      <c r="E816">
        <v>2020</v>
      </c>
      <c r="F816">
        <v>62</v>
      </c>
      <c r="H816" t="s">
        <v>1655</v>
      </c>
      <c r="I816">
        <v>116</v>
      </c>
      <c r="J816">
        <v>0</v>
      </c>
      <c r="K816" t="s">
        <v>90</v>
      </c>
      <c r="S816" t="str">
        <f t="shared" si="82"/>
        <v>30</v>
      </c>
      <c r="T816" t="s">
        <v>78</v>
      </c>
      <c r="W816" t="s">
        <v>1656</v>
      </c>
      <c r="Y816">
        <v>184</v>
      </c>
      <c r="Z816" t="s">
        <v>92</v>
      </c>
      <c r="AC816" t="s">
        <v>67</v>
      </c>
      <c r="AF816">
        <v>2023</v>
      </c>
      <c r="AG816">
        <v>658</v>
      </c>
      <c r="AH816" t="s">
        <v>73</v>
      </c>
      <c r="AI816" t="str">
        <f>"67"</f>
        <v>67</v>
      </c>
      <c r="AJ816" s="1">
        <v>44636</v>
      </c>
      <c r="AK816" t="s">
        <v>1657</v>
      </c>
      <c r="AL816" s="2">
        <v>254808.02</v>
      </c>
      <c r="AP816" s="2">
        <v>77458.89</v>
      </c>
      <c r="AQ816">
        <v>0</v>
      </c>
      <c r="AR816">
        <v>0</v>
      </c>
      <c r="BA816">
        <v>77458.89</v>
      </c>
      <c r="BB816" s="1">
        <v>45006</v>
      </c>
    </row>
    <row r="817" spans="1:54" x14ac:dyDescent="0.25">
      <c r="A817">
        <v>2023</v>
      </c>
      <c r="B817">
        <v>433</v>
      </c>
      <c r="C817" s="1">
        <v>45006</v>
      </c>
      <c r="D817">
        <v>2023</v>
      </c>
      <c r="E817">
        <v>2020</v>
      </c>
      <c r="F817">
        <v>62</v>
      </c>
      <c r="H817" t="s">
        <v>1655</v>
      </c>
      <c r="I817">
        <v>116</v>
      </c>
      <c r="J817">
        <v>0</v>
      </c>
      <c r="K817" t="s">
        <v>90</v>
      </c>
      <c r="S817" t="str">
        <f t="shared" si="82"/>
        <v>30</v>
      </c>
      <c r="T817" t="s">
        <v>78</v>
      </c>
      <c r="W817" t="s">
        <v>1658</v>
      </c>
      <c r="Y817">
        <v>184</v>
      </c>
      <c r="Z817" t="s">
        <v>92</v>
      </c>
      <c r="AC817" t="s">
        <v>60</v>
      </c>
      <c r="AP817" s="2">
        <v>2694.03</v>
      </c>
      <c r="AQ817">
        <v>0</v>
      </c>
      <c r="AR817">
        <v>0</v>
      </c>
      <c r="BA817">
        <v>2694.03</v>
      </c>
      <c r="BB817" s="1">
        <v>45006</v>
      </c>
    </row>
    <row r="818" spans="1:54" x14ac:dyDescent="0.25">
      <c r="A818">
        <v>2023</v>
      </c>
      <c r="B818">
        <v>434</v>
      </c>
      <c r="C818" s="1">
        <v>45006</v>
      </c>
      <c r="D818">
        <v>2023</v>
      </c>
      <c r="E818">
        <v>2021</v>
      </c>
      <c r="F818">
        <v>19</v>
      </c>
      <c r="H818" t="s">
        <v>1659</v>
      </c>
      <c r="I818">
        <v>116</v>
      </c>
      <c r="J818">
        <v>0</v>
      </c>
      <c r="K818" t="s">
        <v>90</v>
      </c>
      <c r="S818" t="str">
        <f t="shared" si="82"/>
        <v>30</v>
      </c>
      <c r="T818" t="s">
        <v>78</v>
      </c>
      <c r="W818" t="s">
        <v>1656</v>
      </c>
      <c r="Y818">
        <v>184</v>
      </c>
      <c r="Z818" t="s">
        <v>92</v>
      </c>
      <c r="AC818" t="s">
        <v>67</v>
      </c>
      <c r="AF818">
        <v>2023</v>
      </c>
      <c r="AG818">
        <v>658</v>
      </c>
      <c r="AH818" t="s">
        <v>73</v>
      </c>
      <c r="AI818" t="str">
        <f>"67"</f>
        <v>67</v>
      </c>
      <c r="AJ818" s="1">
        <v>44636</v>
      </c>
      <c r="AK818" t="s">
        <v>1657</v>
      </c>
      <c r="AL818" s="2">
        <v>254808.02</v>
      </c>
      <c r="AP818" s="2">
        <v>26114.9</v>
      </c>
      <c r="AQ818">
        <v>0</v>
      </c>
      <c r="AR818">
        <v>0</v>
      </c>
      <c r="BA818">
        <v>26114.9</v>
      </c>
      <c r="BB818" s="1">
        <v>45006</v>
      </c>
    </row>
    <row r="819" spans="1:54" x14ac:dyDescent="0.25">
      <c r="A819">
        <v>2023</v>
      </c>
      <c r="B819">
        <v>435</v>
      </c>
      <c r="C819" s="1">
        <v>45006</v>
      </c>
      <c r="D819">
        <v>2023</v>
      </c>
      <c r="E819">
        <v>2021</v>
      </c>
      <c r="F819">
        <v>19</v>
      </c>
      <c r="H819" t="s">
        <v>1659</v>
      </c>
      <c r="I819">
        <v>116</v>
      </c>
      <c r="J819">
        <v>0</v>
      </c>
      <c r="K819" t="s">
        <v>90</v>
      </c>
      <c r="S819" t="str">
        <f t="shared" si="82"/>
        <v>30</v>
      </c>
      <c r="T819" t="s">
        <v>78</v>
      </c>
      <c r="W819" t="s">
        <v>1660</v>
      </c>
      <c r="Y819">
        <v>184</v>
      </c>
      <c r="Z819" t="s">
        <v>92</v>
      </c>
      <c r="AC819" t="s">
        <v>60</v>
      </c>
      <c r="AP819">
        <v>508.26</v>
      </c>
      <c r="AQ819">
        <v>0</v>
      </c>
      <c r="AR819">
        <v>0</v>
      </c>
      <c r="BA819">
        <v>508.26</v>
      </c>
      <c r="BB819" s="1">
        <v>45006</v>
      </c>
    </row>
    <row r="820" spans="1:54" x14ac:dyDescent="0.25">
      <c r="A820">
        <v>2023</v>
      </c>
      <c r="B820">
        <v>436</v>
      </c>
      <c r="C820" s="1">
        <v>45006</v>
      </c>
      <c r="D820">
        <v>2023</v>
      </c>
      <c r="E820">
        <v>2022</v>
      </c>
      <c r="F820">
        <v>26</v>
      </c>
      <c r="H820" t="s">
        <v>89</v>
      </c>
      <c r="I820">
        <v>116</v>
      </c>
      <c r="J820">
        <v>0</v>
      </c>
      <c r="K820" t="s">
        <v>90</v>
      </c>
      <c r="S820" t="str">
        <f t="shared" si="82"/>
        <v>30</v>
      </c>
      <c r="T820" t="s">
        <v>78</v>
      </c>
      <c r="W820" t="s">
        <v>1656</v>
      </c>
      <c r="Y820">
        <v>184</v>
      </c>
      <c r="Z820" t="s">
        <v>92</v>
      </c>
      <c r="AC820" t="s">
        <v>67</v>
      </c>
      <c r="AF820">
        <v>2023</v>
      </c>
      <c r="AG820">
        <v>658</v>
      </c>
      <c r="AH820" t="s">
        <v>73</v>
      </c>
      <c r="AI820" t="str">
        <f>"67"</f>
        <v>67</v>
      </c>
      <c r="AJ820" s="1">
        <v>44636</v>
      </c>
      <c r="AK820" t="s">
        <v>1657</v>
      </c>
      <c r="AL820" s="2">
        <v>254808.02</v>
      </c>
      <c r="AP820" s="2">
        <v>103261.78</v>
      </c>
      <c r="AQ820">
        <v>0</v>
      </c>
      <c r="AR820">
        <v>0</v>
      </c>
      <c r="BA820">
        <v>103261.78</v>
      </c>
      <c r="BB820" s="1">
        <v>45006</v>
      </c>
    </row>
    <row r="821" spans="1:54" x14ac:dyDescent="0.25">
      <c r="A821">
        <v>2023</v>
      </c>
      <c r="B821">
        <v>437</v>
      </c>
      <c r="C821" s="1">
        <v>45006</v>
      </c>
      <c r="D821">
        <v>2023</v>
      </c>
      <c r="E821">
        <v>2022</v>
      </c>
      <c r="F821">
        <v>26</v>
      </c>
      <c r="H821" t="s">
        <v>89</v>
      </c>
      <c r="I821">
        <v>116</v>
      </c>
      <c r="J821">
        <v>0</v>
      </c>
      <c r="K821" t="s">
        <v>90</v>
      </c>
      <c r="S821" t="str">
        <f t="shared" si="82"/>
        <v>30</v>
      </c>
      <c r="T821" t="s">
        <v>78</v>
      </c>
      <c r="W821" t="s">
        <v>1661</v>
      </c>
      <c r="Y821">
        <v>184</v>
      </c>
      <c r="Z821" t="s">
        <v>92</v>
      </c>
      <c r="AC821" t="s">
        <v>60</v>
      </c>
      <c r="AP821" s="2">
        <v>8244.7099999999991</v>
      </c>
      <c r="AQ821">
        <v>0</v>
      </c>
      <c r="AR821">
        <v>0</v>
      </c>
      <c r="BA821">
        <v>8244.7099999999991</v>
      </c>
      <c r="BB821" s="1">
        <v>45006</v>
      </c>
    </row>
    <row r="822" spans="1:54" x14ac:dyDescent="0.25">
      <c r="A822">
        <v>2023</v>
      </c>
      <c r="B822">
        <v>438</v>
      </c>
      <c r="C822" s="1">
        <v>45006</v>
      </c>
      <c r="D822">
        <v>2023</v>
      </c>
      <c r="E822">
        <v>2020</v>
      </c>
      <c r="F822">
        <v>63</v>
      </c>
      <c r="H822" t="s">
        <v>1662</v>
      </c>
      <c r="I822">
        <v>400</v>
      </c>
      <c r="J822">
        <v>0</v>
      </c>
      <c r="K822" t="s">
        <v>95</v>
      </c>
      <c r="S822" t="str">
        <f t="shared" si="82"/>
        <v>30</v>
      </c>
      <c r="T822" t="s">
        <v>78</v>
      </c>
      <c r="W822" t="s">
        <v>1656</v>
      </c>
      <c r="Y822">
        <v>184</v>
      </c>
      <c r="Z822" t="s">
        <v>92</v>
      </c>
      <c r="AC822" t="s">
        <v>67</v>
      </c>
      <c r="AF822">
        <v>2023</v>
      </c>
      <c r="AG822">
        <v>658</v>
      </c>
      <c r="AH822" t="s">
        <v>73</v>
      </c>
      <c r="AI822" t="str">
        <f>"67"</f>
        <v>67</v>
      </c>
      <c r="AJ822" s="1">
        <v>44636</v>
      </c>
      <c r="AK822" t="s">
        <v>1657</v>
      </c>
      <c r="AL822" s="2">
        <v>254808.02</v>
      </c>
      <c r="AP822" s="2">
        <v>24805.64</v>
      </c>
      <c r="AQ822">
        <v>0</v>
      </c>
      <c r="AR822">
        <v>0</v>
      </c>
      <c r="BA822">
        <v>24805.64</v>
      </c>
      <c r="BB822" s="1">
        <v>45006</v>
      </c>
    </row>
    <row r="823" spans="1:54" x14ac:dyDescent="0.25">
      <c r="A823">
        <v>2023</v>
      </c>
      <c r="B823">
        <v>439</v>
      </c>
      <c r="C823" s="1">
        <v>45006</v>
      </c>
      <c r="D823">
        <v>2023</v>
      </c>
      <c r="E823">
        <v>2021</v>
      </c>
      <c r="F823">
        <v>34</v>
      </c>
      <c r="H823" t="s">
        <v>1663</v>
      </c>
      <c r="I823">
        <v>400</v>
      </c>
      <c r="J823">
        <v>0</v>
      </c>
      <c r="K823" t="s">
        <v>95</v>
      </c>
      <c r="S823" t="str">
        <f t="shared" si="82"/>
        <v>30</v>
      </c>
      <c r="T823" t="s">
        <v>78</v>
      </c>
      <c r="W823" t="s">
        <v>1656</v>
      </c>
      <c r="Y823">
        <v>184</v>
      </c>
      <c r="Z823" t="s">
        <v>92</v>
      </c>
      <c r="AC823" t="s">
        <v>67</v>
      </c>
      <c r="AF823">
        <v>2023</v>
      </c>
      <c r="AG823">
        <v>658</v>
      </c>
      <c r="AH823" t="s">
        <v>73</v>
      </c>
      <c r="AI823" t="str">
        <f>"67"</f>
        <v>67</v>
      </c>
      <c r="AJ823" s="1">
        <v>44636</v>
      </c>
      <c r="AK823" t="s">
        <v>1657</v>
      </c>
      <c r="AL823" s="2">
        <v>254808.02</v>
      </c>
      <c r="AP823" s="2">
        <v>6701.88</v>
      </c>
      <c r="AQ823">
        <v>0</v>
      </c>
      <c r="AR823">
        <v>0</v>
      </c>
      <c r="BA823">
        <v>6701.88</v>
      </c>
      <c r="BB823" s="1">
        <v>45006</v>
      </c>
    </row>
    <row r="824" spans="1:54" x14ac:dyDescent="0.25">
      <c r="A824">
        <v>2023</v>
      </c>
      <c r="B824">
        <v>440</v>
      </c>
      <c r="C824" s="1">
        <v>45006</v>
      </c>
      <c r="D824">
        <v>2023</v>
      </c>
      <c r="E824">
        <v>2022</v>
      </c>
      <c r="F824">
        <v>56</v>
      </c>
      <c r="H824" t="s">
        <v>94</v>
      </c>
      <c r="I824">
        <v>400</v>
      </c>
      <c r="J824">
        <v>0</v>
      </c>
      <c r="K824" t="s">
        <v>95</v>
      </c>
      <c r="S824" t="str">
        <f t="shared" si="82"/>
        <v>30</v>
      </c>
      <c r="T824" t="s">
        <v>78</v>
      </c>
      <c r="W824" t="s">
        <v>1656</v>
      </c>
      <c r="Y824">
        <v>184</v>
      </c>
      <c r="Z824" t="s">
        <v>92</v>
      </c>
      <c r="AC824" t="s">
        <v>67</v>
      </c>
      <c r="AF824">
        <v>2023</v>
      </c>
      <c r="AG824">
        <v>658</v>
      </c>
      <c r="AH824" t="s">
        <v>73</v>
      </c>
      <c r="AI824" t="str">
        <f>"67"</f>
        <v>67</v>
      </c>
      <c r="AJ824" s="1">
        <v>44636</v>
      </c>
      <c r="AK824" t="s">
        <v>1657</v>
      </c>
      <c r="AL824" s="2">
        <v>254808.02</v>
      </c>
      <c r="AP824" s="2">
        <v>16464.93</v>
      </c>
      <c r="AQ824">
        <v>0</v>
      </c>
      <c r="AR824">
        <v>0</v>
      </c>
      <c r="BA824">
        <v>16464.93</v>
      </c>
      <c r="BB824" s="1">
        <v>45006</v>
      </c>
    </row>
    <row r="825" spans="1:54" x14ac:dyDescent="0.25">
      <c r="A825">
        <v>2023</v>
      </c>
      <c r="B825">
        <v>441</v>
      </c>
      <c r="C825" s="1">
        <v>45006</v>
      </c>
      <c r="D825">
        <v>2023</v>
      </c>
      <c r="E825">
        <v>2023</v>
      </c>
      <c r="F825">
        <v>32</v>
      </c>
      <c r="H825" t="s">
        <v>1112</v>
      </c>
      <c r="I825">
        <v>470</v>
      </c>
      <c r="J825">
        <v>0</v>
      </c>
      <c r="K825" t="s">
        <v>154</v>
      </c>
      <c r="W825" t="s">
        <v>1664</v>
      </c>
      <c r="Y825">
        <v>1765</v>
      </c>
      <c r="Z825" t="s">
        <v>85</v>
      </c>
      <c r="AC825" t="s">
        <v>67</v>
      </c>
      <c r="AF825">
        <v>2023</v>
      </c>
      <c r="AG825">
        <v>659</v>
      </c>
      <c r="AH825" t="s">
        <v>73</v>
      </c>
      <c r="AI825" t="str">
        <f>"68"</f>
        <v>68</v>
      </c>
      <c r="AJ825" s="1">
        <v>45001</v>
      </c>
      <c r="AK825" t="s">
        <v>1665</v>
      </c>
      <c r="AL825" s="2">
        <v>62381.47</v>
      </c>
      <c r="AP825" s="2">
        <v>62381.47</v>
      </c>
      <c r="AQ825">
        <v>0</v>
      </c>
      <c r="AR825">
        <v>0</v>
      </c>
      <c r="BA825">
        <v>62381.47</v>
      </c>
      <c r="BB825" s="1">
        <v>45006</v>
      </c>
    </row>
    <row r="826" spans="1:54" x14ac:dyDescent="0.25">
      <c r="A826">
        <v>2023</v>
      </c>
      <c r="B826">
        <v>442</v>
      </c>
      <c r="C826" s="1">
        <v>45006</v>
      </c>
      <c r="D826">
        <v>2023</v>
      </c>
      <c r="E826">
        <v>2023</v>
      </c>
      <c r="F826">
        <v>28</v>
      </c>
      <c r="H826" t="s">
        <v>798</v>
      </c>
      <c r="I826">
        <v>116</v>
      </c>
      <c r="J826">
        <v>0</v>
      </c>
      <c r="K826" t="s">
        <v>90</v>
      </c>
      <c r="S826" t="str">
        <f t="shared" ref="S826:S833" si="83">"30"</f>
        <v>30</v>
      </c>
      <c r="T826" t="s">
        <v>78</v>
      </c>
      <c r="W826" t="s">
        <v>1666</v>
      </c>
      <c r="Y826">
        <v>186</v>
      </c>
      <c r="Z826" t="s">
        <v>106</v>
      </c>
      <c r="AB826" t="str">
        <f>"02070800582"</f>
        <v>02070800582</v>
      </c>
      <c r="AC826" t="s">
        <v>103</v>
      </c>
      <c r="AP826" s="2">
        <v>6336.49</v>
      </c>
      <c r="AQ826">
        <v>0</v>
      </c>
      <c r="AR826">
        <v>0</v>
      </c>
      <c r="BA826">
        <v>6336.49</v>
      </c>
      <c r="BB826" s="1">
        <v>45006</v>
      </c>
    </row>
    <row r="827" spans="1:54" x14ac:dyDescent="0.25">
      <c r="A827">
        <v>2023</v>
      </c>
      <c r="B827">
        <v>443</v>
      </c>
      <c r="C827" s="1">
        <v>45006</v>
      </c>
      <c r="D827">
        <v>2023</v>
      </c>
      <c r="E827">
        <v>2023</v>
      </c>
      <c r="F827">
        <v>66</v>
      </c>
      <c r="H827" t="s">
        <v>482</v>
      </c>
      <c r="I827">
        <v>400</v>
      </c>
      <c r="J827">
        <v>0</v>
      </c>
      <c r="K827" t="s">
        <v>95</v>
      </c>
      <c r="S827" t="str">
        <f t="shared" si="83"/>
        <v>30</v>
      </c>
      <c r="T827" t="s">
        <v>78</v>
      </c>
      <c r="W827" t="s">
        <v>1667</v>
      </c>
      <c r="Y827">
        <v>186</v>
      </c>
      <c r="Z827" t="s">
        <v>106</v>
      </c>
      <c r="AB827" t="str">
        <f>"02070800582"</f>
        <v>02070800582</v>
      </c>
      <c r="AC827" t="s">
        <v>103</v>
      </c>
      <c r="AP827" s="2">
        <v>3236.25</v>
      </c>
      <c r="AQ827">
        <v>0</v>
      </c>
      <c r="AR827">
        <v>0</v>
      </c>
      <c r="BA827">
        <v>3236.25</v>
      </c>
      <c r="BB827" s="1">
        <v>45006</v>
      </c>
    </row>
    <row r="828" spans="1:54" x14ac:dyDescent="0.25">
      <c r="A828">
        <v>2023</v>
      </c>
      <c r="B828">
        <v>444</v>
      </c>
      <c r="C828" s="1">
        <v>45006</v>
      </c>
      <c r="D828">
        <v>2023</v>
      </c>
      <c r="E828">
        <v>2023</v>
      </c>
      <c r="F828">
        <v>28</v>
      </c>
      <c r="H828" t="s">
        <v>798</v>
      </c>
      <c r="I828">
        <v>116</v>
      </c>
      <c r="J828">
        <v>0</v>
      </c>
      <c r="K828" t="s">
        <v>90</v>
      </c>
      <c r="S828" t="str">
        <f t="shared" si="83"/>
        <v>30</v>
      </c>
      <c r="T828" t="s">
        <v>78</v>
      </c>
      <c r="W828" t="s">
        <v>1668</v>
      </c>
      <c r="Y828">
        <v>186</v>
      </c>
      <c r="Z828" t="s">
        <v>106</v>
      </c>
      <c r="AB828" t="str">
        <f>"02070800582"</f>
        <v>02070800582</v>
      </c>
      <c r="AC828" t="s">
        <v>103</v>
      </c>
      <c r="AP828" s="2">
        <v>20167.52</v>
      </c>
      <c r="AQ828">
        <v>0</v>
      </c>
      <c r="AR828">
        <v>0</v>
      </c>
      <c r="BA828">
        <v>20167.52</v>
      </c>
      <c r="BB828" s="1">
        <v>45006</v>
      </c>
    </row>
    <row r="829" spans="1:54" x14ac:dyDescent="0.25">
      <c r="A829">
        <v>2023</v>
      </c>
      <c r="B829">
        <v>445</v>
      </c>
      <c r="C829" s="1">
        <v>45006</v>
      </c>
      <c r="D829">
        <v>2023</v>
      </c>
      <c r="E829">
        <v>2023</v>
      </c>
      <c r="F829">
        <v>75</v>
      </c>
      <c r="H829" t="s">
        <v>875</v>
      </c>
      <c r="I829">
        <v>165</v>
      </c>
      <c r="J829">
        <v>0</v>
      </c>
      <c r="K829" t="s">
        <v>110</v>
      </c>
      <c r="S829" t="str">
        <f t="shared" si="83"/>
        <v>30</v>
      </c>
      <c r="T829" t="s">
        <v>78</v>
      </c>
      <c r="W829" t="s">
        <v>1669</v>
      </c>
      <c r="Y829">
        <v>186</v>
      </c>
      <c r="Z829" t="s">
        <v>106</v>
      </c>
      <c r="AB829" t="str">
        <f>"02070800582"</f>
        <v>02070800582</v>
      </c>
      <c r="AC829" t="s">
        <v>103</v>
      </c>
      <c r="AP829" s="2">
        <v>5974</v>
      </c>
      <c r="AQ829">
        <v>0</v>
      </c>
      <c r="AR829">
        <v>0</v>
      </c>
      <c r="BA829">
        <v>5974</v>
      </c>
      <c r="BB829" s="1">
        <v>45006</v>
      </c>
    </row>
    <row r="830" spans="1:54" x14ac:dyDescent="0.25">
      <c r="A830">
        <v>2023</v>
      </c>
      <c r="B830">
        <v>446</v>
      </c>
      <c r="C830" s="1">
        <v>45006</v>
      </c>
      <c r="D830">
        <v>2023</v>
      </c>
      <c r="E830">
        <v>2023</v>
      </c>
      <c r="F830">
        <v>73</v>
      </c>
      <c r="H830" t="s">
        <v>877</v>
      </c>
      <c r="I830">
        <v>165</v>
      </c>
      <c r="J830">
        <v>0</v>
      </c>
      <c r="K830" t="s">
        <v>110</v>
      </c>
      <c r="S830" t="str">
        <f t="shared" si="83"/>
        <v>30</v>
      </c>
      <c r="T830" t="s">
        <v>78</v>
      </c>
      <c r="W830" t="s">
        <v>1670</v>
      </c>
      <c r="Y830">
        <v>186</v>
      </c>
      <c r="Z830" t="s">
        <v>106</v>
      </c>
      <c r="AB830" t="str">
        <f>"02070800582"</f>
        <v>02070800582</v>
      </c>
      <c r="AC830" t="s">
        <v>103</v>
      </c>
      <c r="AP830" s="2">
        <v>1004</v>
      </c>
      <c r="AQ830">
        <v>0</v>
      </c>
      <c r="AR830">
        <v>0</v>
      </c>
      <c r="BA830">
        <v>1004</v>
      </c>
      <c r="BB830" s="1">
        <v>45006</v>
      </c>
    </row>
    <row r="831" spans="1:54" x14ac:dyDescent="0.25">
      <c r="A831">
        <v>2023</v>
      </c>
      <c r="B831">
        <v>447</v>
      </c>
      <c r="C831" s="1">
        <v>45006</v>
      </c>
      <c r="D831">
        <v>2023</v>
      </c>
      <c r="E831">
        <v>2023</v>
      </c>
      <c r="F831">
        <v>28</v>
      </c>
      <c r="H831" t="s">
        <v>798</v>
      </c>
      <c r="I831">
        <v>116</v>
      </c>
      <c r="J831">
        <v>0</v>
      </c>
      <c r="K831" t="s">
        <v>90</v>
      </c>
      <c r="S831" t="str">
        <f t="shared" si="83"/>
        <v>30</v>
      </c>
      <c r="T831" t="s">
        <v>78</v>
      </c>
      <c r="W831" t="s">
        <v>1671</v>
      </c>
      <c r="Y831">
        <v>749</v>
      </c>
      <c r="Z831" t="s">
        <v>897</v>
      </c>
      <c r="AB831" t="str">
        <f>"97064710581"</f>
        <v>97064710581</v>
      </c>
      <c r="AC831" t="s">
        <v>116</v>
      </c>
      <c r="AD831" t="s">
        <v>1672</v>
      </c>
      <c r="AP831">
        <v>90.43</v>
      </c>
      <c r="AQ831">
        <v>0</v>
      </c>
      <c r="AR831">
        <v>0</v>
      </c>
      <c r="BA831">
        <v>90.43</v>
      </c>
      <c r="BB831" s="1">
        <v>45006</v>
      </c>
    </row>
    <row r="832" spans="1:54" x14ac:dyDescent="0.25">
      <c r="A832">
        <v>2023</v>
      </c>
      <c r="B832">
        <v>448</v>
      </c>
      <c r="C832" s="1">
        <v>45006</v>
      </c>
      <c r="D832">
        <v>2023</v>
      </c>
      <c r="E832">
        <v>2023</v>
      </c>
      <c r="F832">
        <v>66</v>
      </c>
      <c r="H832" t="s">
        <v>482</v>
      </c>
      <c r="I832">
        <v>400</v>
      </c>
      <c r="J832">
        <v>0</v>
      </c>
      <c r="K832" t="s">
        <v>95</v>
      </c>
      <c r="S832" t="str">
        <f t="shared" si="83"/>
        <v>30</v>
      </c>
      <c r="T832" t="s">
        <v>78</v>
      </c>
      <c r="W832" t="s">
        <v>1671</v>
      </c>
      <c r="Y832">
        <v>749</v>
      </c>
      <c r="Z832" t="s">
        <v>897</v>
      </c>
      <c r="AB832" t="str">
        <f>"97064710581"</f>
        <v>97064710581</v>
      </c>
      <c r="AC832" t="s">
        <v>116</v>
      </c>
      <c r="AD832" t="s">
        <v>1672</v>
      </c>
      <c r="AP832">
        <v>90.4</v>
      </c>
      <c r="AQ832">
        <v>0</v>
      </c>
      <c r="AR832">
        <v>0</v>
      </c>
      <c r="BA832">
        <v>90.4</v>
      </c>
      <c r="BB832" s="1">
        <v>45006</v>
      </c>
    </row>
    <row r="833" spans="1:54" x14ac:dyDescent="0.25">
      <c r="A833">
        <v>2023</v>
      </c>
      <c r="B833">
        <v>449</v>
      </c>
      <c r="C833" s="1">
        <v>45006</v>
      </c>
      <c r="D833">
        <v>2023</v>
      </c>
      <c r="E833">
        <v>2023</v>
      </c>
      <c r="F833">
        <v>8</v>
      </c>
      <c r="H833" t="s">
        <v>112</v>
      </c>
      <c r="I833">
        <v>440</v>
      </c>
      <c r="J833">
        <v>0</v>
      </c>
      <c r="K833" t="s">
        <v>113</v>
      </c>
      <c r="S833" t="str">
        <f t="shared" si="83"/>
        <v>30</v>
      </c>
      <c r="T833" t="s">
        <v>78</v>
      </c>
      <c r="W833" t="s">
        <v>1673</v>
      </c>
      <c r="Y833">
        <v>4045</v>
      </c>
      <c r="Z833" t="s">
        <v>115</v>
      </c>
      <c r="AB833" t="str">
        <f>"03951740269"</f>
        <v>03951740269</v>
      </c>
      <c r="AC833" t="s">
        <v>116</v>
      </c>
      <c r="AD833" t="s">
        <v>117</v>
      </c>
      <c r="AP833">
        <v>305</v>
      </c>
      <c r="AQ833">
        <v>0</v>
      </c>
      <c r="AR833">
        <v>0</v>
      </c>
      <c r="BA833">
        <v>305</v>
      </c>
      <c r="BB833" s="1">
        <v>45006</v>
      </c>
    </row>
    <row r="834" spans="1:54" x14ac:dyDescent="0.25">
      <c r="A834">
        <v>2023</v>
      </c>
      <c r="B834">
        <v>450</v>
      </c>
      <c r="C834" s="1">
        <v>45006</v>
      </c>
      <c r="D834">
        <v>2023</v>
      </c>
      <c r="E834">
        <v>2023</v>
      </c>
      <c r="F834">
        <v>30</v>
      </c>
      <c r="H834" t="s">
        <v>204</v>
      </c>
      <c r="I834">
        <v>155</v>
      </c>
      <c r="J834">
        <v>0</v>
      </c>
      <c r="K834" t="s">
        <v>205</v>
      </c>
      <c r="S834" t="str">
        <f>"33"</f>
        <v>33</v>
      </c>
      <c r="T834" t="s">
        <v>64</v>
      </c>
      <c r="W834" t="s">
        <v>1674</v>
      </c>
      <c r="Y834">
        <v>2567</v>
      </c>
      <c r="Z834" t="s">
        <v>207</v>
      </c>
      <c r="AB834" t="str">
        <f>"00884060526"</f>
        <v>00884060526</v>
      </c>
      <c r="AC834" t="s">
        <v>116</v>
      </c>
      <c r="AD834" t="s">
        <v>208</v>
      </c>
      <c r="AP834" s="2">
        <v>16755</v>
      </c>
      <c r="AQ834">
        <v>0</v>
      </c>
      <c r="AR834">
        <v>0</v>
      </c>
      <c r="BA834">
        <v>16755</v>
      </c>
      <c r="BB834" s="1">
        <v>45006</v>
      </c>
    </row>
    <row r="835" spans="1:54" x14ac:dyDescent="0.25">
      <c r="A835">
        <v>2023</v>
      </c>
      <c r="B835">
        <v>451</v>
      </c>
      <c r="C835" s="1">
        <v>45006</v>
      </c>
      <c r="D835">
        <v>2023</v>
      </c>
      <c r="E835">
        <v>2022</v>
      </c>
      <c r="F835">
        <v>746</v>
      </c>
      <c r="H835" t="s">
        <v>209</v>
      </c>
      <c r="I835">
        <v>300</v>
      </c>
      <c r="J835">
        <v>0</v>
      </c>
      <c r="K835" t="s">
        <v>210</v>
      </c>
      <c r="S835" t="str">
        <f>"33"</f>
        <v>33</v>
      </c>
      <c r="T835" t="s">
        <v>64</v>
      </c>
      <c r="W835" t="s">
        <v>1675</v>
      </c>
      <c r="Y835">
        <v>2567</v>
      </c>
      <c r="Z835" t="s">
        <v>207</v>
      </c>
      <c r="AB835" t="str">
        <f>"00884060526"</f>
        <v>00884060526</v>
      </c>
      <c r="AC835" t="s">
        <v>116</v>
      </c>
      <c r="AD835" t="s">
        <v>208</v>
      </c>
      <c r="AP835" s="2">
        <v>357142.85</v>
      </c>
      <c r="AQ835">
        <v>0</v>
      </c>
      <c r="AR835">
        <v>0</v>
      </c>
      <c r="BA835">
        <v>357142.85</v>
      </c>
      <c r="BB835" s="1">
        <v>45006</v>
      </c>
    </row>
    <row r="836" spans="1:54" x14ac:dyDescent="0.25">
      <c r="A836">
        <v>2023</v>
      </c>
      <c r="B836">
        <v>452</v>
      </c>
      <c r="C836" s="1">
        <v>45007</v>
      </c>
      <c r="D836">
        <v>2023</v>
      </c>
      <c r="E836">
        <v>2023</v>
      </c>
      <c r="F836">
        <v>26</v>
      </c>
      <c r="H836" t="s">
        <v>212</v>
      </c>
      <c r="I836">
        <v>110</v>
      </c>
      <c r="J836">
        <v>0</v>
      </c>
      <c r="K836" t="s">
        <v>213</v>
      </c>
      <c r="S836" t="str">
        <f t="shared" ref="S836:S842" si="84">"30"</f>
        <v>30</v>
      </c>
      <c r="T836" t="s">
        <v>78</v>
      </c>
      <c r="W836" t="s">
        <v>1676</v>
      </c>
      <c r="Y836">
        <v>1743</v>
      </c>
      <c r="Z836" t="s">
        <v>215</v>
      </c>
      <c r="AC836" t="s">
        <v>103</v>
      </c>
      <c r="AP836" s="2">
        <v>170015.12</v>
      </c>
      <c r="AQ836">
        <v>0</v>
      </c>
      <c r="AR836">
        <v>0</v>
      </c>
      <c r="BA836">
        <v>170015.12</v>
      </c>
      <c r="BB836" s="1">
        <v>45007</v>
      </c>
    </row>
    <row r="837" spans="1:54" x14ac:dyDescent="0.25">
      <c r="A837">
        <v>2023</v>
      </c>
      <c r="B837">
        <v>453</v>
      </c>
      <c r="C837" s="1">
        <v>45007</v>
      </c>
      <c r="D837">
        <v>2023</v>
      </c>
      <c r="E837">
        <v>2023</v>
      </c>
      <c r="F837">
        <v>26</v>
      </c>
      <c r="H837" t="s">
        <v>212</v>
      </c>
      <c r="I837">
        <v>110</v>
      </c>
      <c r="J837">
        <v>0</v>
      </c>
      <c r="K837" t="s">
        <v>213</v>
      </c>
      <c r="S837" t="str">
        <f t="shared" si="84"/>
        <v>30</v>
      </c>
      <c r="T837" t="s">
        <v>78</v>
      </c>
      <c r="W837" t="s">
        <v>1676</v>
      </c>
      <c r="Y837">
        <v>1743</v>
      </c>
      <c r="Z837" t="s">
        <v>215</v>
      </c>
      <c r="AC837" t="s">
        <v>103</v>
      </c>
      <c r="AP837" s="2">
        <v>8177.7</v>
      </c>
      <c r="AQ837">
        <v>0</v>
      </c>
      <c r="AR837">
        <v>0</v>
      </c>
      <c r="BA837">
        <v>8177.7</v>
      </c>
      <c r="BB837" s="1">
        <v>45007</v>
      </c>
    </row>
    <row r="838" spans="1:54" x14ac:dyDescent="0.25">
      <c r="A838">
        <v>2023</v>
      </c>
      <c r="B838">
        <v>454</v>
      </c>
      <c r="C838" s="1">
        <v>45007</v>
      </c>
      <c r="D838">
        <v>2023</v>
      </c>
      <c r="E838">
        <v>2023</v>
      </c>
      <c r="F838">
        <v>26</v>
      </c>
      <c r="H838" t="s">
        <v>212</v>
      </c>
      <c r="I838">
        <v>110</v>
      </c>
      <c r="J838">
        <v>0</v>
      </c>
      <c r="K838" t="s">
        <v>213</v>
      </c>
      <c r="S838" t="str">
        <f t="shared" si="84"/>
        <v>30</v>
      </c>
      <c r="T838" t="s">
        <v>78</v>
      </c>
      <c r="W838" t="s">
        <v>1676</v>
      </c>
      <c r="Y838">
        <v>1743</v>
      </c>
      <c r="Z838" t="s">
        <v>215</v>
      </c>
      <c r="AC838" t="s">
        <v>60</v>
      </c>
      <c r="AP838" s="2">
        <v>80632.08</v>
      </c>
      <c r="AQ838">
        <v>0</v>
      </c>
      <c r="AR838" s="2">
        <v>80632.08</v>
      </c>
      <c r="BA838">
        <v>80632.08</v>
      </c>
      <c r="BB838" s="1">
        <v>45007</v>
      </c>
    </row>
    <row r="839" spans="1:54" x14ac:dyDescent="0.25">
      <c r="A839">
        <v>2023</v>
      </c>
      <c r="B839">
        <v>455</v>
      </c>
      <c r="C839" s="1">
        <v>45007</v>
      </c>
      <c r="D839">
        <v>2023</v>
      </c>
      <c r="E839">
        <v>2023</v>
      </c>
      <c r="F839">
        <v>27</v>
      </c>
      <c r="H839" t="s">
        <v>902</v>
      </c>
      <c r="I839">
        <v>112</v>
      </c>
      <c r="J839">
        <v>0</v>
      </c>
      <c r="K839" t="s">
        <v>220</v>
      </c>
      <c r="S839" t="str">
        <f t="shared" si="84"/>
        <v>30</v>
      </c>
      <c r="T839" t="s">
        <v>78</v>
      </c>
      <c r="W839" t="s">
        <v>1677</v>
      </c>
      <c r="Y839">
        <v>1743</v>
      </c>
      <c r="Z839" t="s">
        <v>215</v>
      </c>
      <c r="AC839" t="s">
        <v>103</v>
      </c>
      <c r="AP839" s="2">
        <v>1421.35</v>
      </c>
      <c r="AQ839">
        <v>0</v>
      </c>
      <c r="AR839">
        <v>0</v>
      </c>
      <c r="BA839">
        <v>1421.35</v>
      </c>
      <c r="BB839" s="1">
        <v>45007</v>
      </c>
    </row>
    <row r="840" spans="1:54" x14ac:dyDescent="0.25">
      <c r="A840">
        <v>2023</v>
      </c>
      <c r="B840">
        <v>456</v>
      </c>
      <c r="C840" s="1">
        <v>45007</v>
      </c>
      <c r="D840">
        <v>2023</v>
      </c>
      <c r="E840">
        <v>2023</v>
      </c>
      <c r="F840">
        <v>40</v>
      </c>
      <c r="H840" t="s">
        <v>222</v>
      </c>
      <c r="I840">
        <v>470</v>
      </c>
      <c r="J840">
        <v>0</v>
      </c>
      <c r="K840" t="s">
        <v>154</v>
      </c>
      <c r="S840" t="str">
        <f t="shared" si="84"/>
        <v>30</v>
      </c>
      <c r="T840" t="s">
        <v>78</v>
      </c>
      <c r="W840" t="s">
        <v>1678</v>
      </c>
      <c r="Y840">
        <v>1743</v>
      </c>
      <c r="Z840" t="s">
        <v>215</v>
      </c>
      <c r="AC840" t="s">
        <v>103</v>
      </c>
      <c r="AP840" s="2">
        <v>3981.2</v>
      </c>
      <c r="AQ840">
        <v>0</v>
      </c>
      <c r="AR840">
        <v>0</v>
      </c>
      <c r="BA840">
        <v>3981.2</v>
      </c>
      <c r="BB840" s="1">
        <v>45007</v>
      </c>
    </row>
    <row r="841" spans="1:54" x14ac:dyDescent="0.25">
      <c r="A841">
        <v>2023</v>
      </c>
      <c r="B841">
        <v>457</v>
      </c>
      <c r="C841" s="1">
        <v>45007</v>
      </c>
      <c r="D841">
        <v>2023</v>
      </c>
      <c r="E841">
        <v>2023</v>
      </c>
      <c r="F841">
        <v>38</v>
      </c>
      <c r="H841" t="s">
        <v>224</v>
      </c>
      <c r="I841">
        <v>100</v>
      </c>
      <c r="J841">
        <v>0</v>
      </c>
      <c r="K841" t="s">
        <v>77</v>
      </c>
      <c r="S841" t="str">
        <f t="shared" si="84"/>
        <v>30</v>
      </c>
      <c r="T841" t="s">
        <v>78</v>
      </c>
      <c r="W841" t="s">
        <v>1679</v>
      </c>
      <c r="Y841">
        <v>190</v>
      </c>
      <c r="Z841" t="s">
        <v>226</v>
      </c>
      <c r="AC841" t="s">
        <v>103</v>
      </c>
      <c r="AP841" s="2">
        <v>1833.25</v>
      </c>
      <c r="AQ841">
        <v>0</v>
      </c>
      <c r="AR841">
        <v>0</v>
      </c>
      <c r="BA841">
        <v>1833.25</v>
      </c>
      <c r="BB841" s="1">
        <v>45007</v>
      </c>
    </row>
    <row r="842" spans="1:54" x14ac:dyDescent="0.25">
      <c r="A842">
        <v>2023</v>
      </c>
      <c r="B842">
        <v>458</v>
      </c>
      <c r="C842" s="1">
        <v>45007</v>
      </c>
      <c r="D842">
        <v>2023</v>
      </c>
      <c r="E842">
        <v>2023</v>
      </c>
      <c r="F842">
        <v>38</v>
      </c>
      <c r="H842" t="s">
        <v>224</v>
      </c>
      <c r="I842">
        <v>100</v>
      </c>
      <c r="J842">
        <v>0</v>
      </c>
      <c r="K842" t="s">
        <v>77</v>
      </c>
      <c r="S842" t="str">
        <f t="shared" si="84"/>
        <v>30</v>
      </c>
      <c r="T842" t="s">
        <v>78</v>
      </c>
      <c r="W842" t="s">
        <v>1679</v>
      </c>
      <c r="Y842">
        <v>190</v>
      </c>
      <c r="Z842" t="s">
        <v>226</v>
      </c>
      <c r="AC842" t="s">
        <v>60</v>
      </c>
      <c r="AP842">
        <v>966.75</v>
      </c>
      <c r="AQ842">
        <v>0</v>
      </c>
      <c r="AR842">
        <v>966.75</v>
      </c>
      <c r="BA842">
        <v>966.75</v>
      </c>
      <c r="BB842" s="1">
        <v>45007</v>
      </c>
    </row>
    <row r="843" spans="1:54" x14ac:dyDescent="0.25">
      <c r="A843">
        <v>2023</v>
      </c>
      <c r="B843">
        <v>459</v>
      </c>
      <c r="C843" s="1">
        <v>45008</v>
      </c>
      <c r="D843">
        <v>2023</v>
      </c>
      <c r="E843">
        <v>2022</v>
      </c>
      <c r="F843">
        <v>528</v>
      </c>
      <c r="H843" t="s">
        <v>284</v>
      </c>
      <c r="I843">
        <v>220</v>
      </c>
      <c r="J843">
        <v>0</v>
      </c>
      <c r="K843" t="s">
        <v>285</v>
      </c>
      <c r="R843" t="s">
        <v>1680</v>
      </c>
      <c r="W843" t="s">
        <v>1681</v>
      </c>
      <c r="Y843">
        <v>1514</v>
      </c>
      <c r="Z843" t="s">
        <v>288</v>
      </c>
      <c r="AB843" t="str">
        <f>"02293180242"</f>
        <v>02293180242</v>
      </c>
      <c r="AC843" t="s">
        <v>116</v>
      </c>
      <c r="AD843" t="s">
        <v>289</v>
      </c>
      <c r="AF843">
        <v>2023</v>
      </c>
      <c r="AG843">
        <v>361</v>
      </c>
      <c r="AH843" t="str">
        <f t="shared" ref="AH843:AH874" si="85">"1"</f>
        <v>1</v>
      </c>
      <c r="AI843" t="str">
        <f>"17"</f>
        <v>17</v>
      </c>
      <c r="AJ843" s="1">
        <v>44966</v>
      </c>
      <c r="AK843" t="s">
        <v>1681</v>
      </c>
      <c r="AL843" s="2">
        <v>59048</v>
      </c>
      <c r="AM843" t="str">
        <f>"9039502295"</f>
        <v>9039502295</v>
      </c>
      <c r="AN843">
        <v>2023</v>
      </c>
      <c r="AO843">
        <v>353</v>
      </c>
      <c r="AP843" s="2">
        <v>59048</v>
      </c>
      <c r="AQ843">
        <v>0</v>
      </c>
      <c r="AR843" s="2">
        <v>10648</v>
      </c>
      <c r="AS843" t="s">
        <v>177</v>
      </c>
      <c r="AT843">
        <v>48400</v>
      </c>
      <c r="AU843">
        <v>10648</v>
      </c>
      <c r="AV843">
        <v>2023</v>
      </c>
      <c r="AW843">
        <v>238</v>
      </c>
      <c r="AX843">
        <v>670</v>
      </c>
      <c r="AY843">
        <v>0</v>
      </c>
      <c r="AZ843" t="s">
        <v>1682</v>
      </c>
      <c r="BA843">
        <v>59048</v>
      </c>
      <c r="BB843" s="1">
        <v>45008</v>
      </c>
    </row>
    <row r="844" spans="1:54" x14ac:dyDescent="0.25">
      <c r="A844">
        <v>2023</v>
      </c>
      <c r="B844">
        <v>460</v>
      </c>
      <c r="C844" s="1">
        <v>45008</v>
      </c>
      <c r="D844">
        <v>2023</v>
      </c>
      <c r="E844">
        <v>2023</v>
      </c>
      <c r="F844">
        <v>17</v>
      </c>
      <c r="H844" t="s">
        <v>1683</v>
      </c>
      <c r="I844">
        <v>130</v>
      </c>
      <c r="J844">
        <v>0</v>
      </c>
      <c r="K844" t="s">
        <v>128</v>
      </c>
      <c r="R844" t="s">
        <v>190</v>
      </c>
      <c r="S844" t="str">
        <f t="shared" ref="S844:S875" si="86">"31"</f>
        <v>31</v>
      </c>
      <c r="T844" t="s">
        <v>122</v>
      </c>
      <c r="W844" t="s">
        <v>1684</v>
      </c>
      <c r="Y844">
        <v>3344</v>
      </c>
      <c r="Z844" t="s">
        <v>192</v>
      </c>
      <c r="AB844" t="str">
        <f t="shared" ref="AB844:AB875" si="87">"02616630022"</f>
        <v>02616630022</v>
      </c>
      <c r="AC844" t="s">
        <v>116</v>
      </c>
      <c r="AD844" t="s">
        <v>193</v>
      </c>
      <c r="AF844">
        <v>2023</v>
      </c>
      <c r="AG844">
        <v>430</v>
      </c>
      <c r="AH844" t="str">
        <f t="shared" si="85"/>
        <v>1</v>
      </c>
      <c r="AI844" t="str">
        <f>"5230043636"</f>
        <v>5230043636</v>
      </c>
      <c r="AJ844" s="1">
        <v>44977</v>
      </c>
      <c r="AL844">
        <v>43.79</v>
      </c>
      <c r="AM844" t="str">
        <f>"9080006645"</f>
        <v>9080006645</v>
      </c>
      <c r="AN844">
        <v>2023</v>
      </c>
      <c r="AO844">
        <v>360</v>
      </c>
      <c r="AP844">
        <v>43.79</v>
      </c>
      <c r="AQ844">
        <v>0</v>
      </c>
      <c r="AR844">
        <v>11.01</v>
      </c>
      <c r="AS844" t="s">
        <v>177</v>
      </c>
      <c r="AT844">
        <v>35.89</v>
      </c>
      <c r="AU844">
        <v>7.9</v>
      </c>
      <c r="AV844">
        <v>2023</v>
      </c>
      <c r="AW844">
        <v>239</v>
      </c>
      <c r="AX844">
        <v>670</v>
      </c>
      <c r="AY844">
        <v>0</v>
      </c>
      <c r="AZ844" t="s">
        <v>1685</v>
      </c>
      <c r="BA844">
        <v>43.79</v>
      </c>
      <c r="BB844" s="1">
        <v>45008</v>
      </c>
    </row>
    <row r="845" spans="1:54" x14ac:dyDescent="0.25">
      <c r="A845">
        <v>2023</v>
      </c>
      <c r="B845">
        <v>460</v>
      </c>
      <c r="C845" s="1">
        <v>45008</v>
      </c>
      <c r="D845">
        <v>2023</v>
      </c>
      <c r="E845">
        <v>2023</v>
      </c>
      <c r="F845">
        <v>17</v>
      </c>
      <c r="H845" t="s">
        <v>1683</v>
      </c>
      <c r="I845">
        <v>130</v>
      </c>
      <c r="J845">
        <v>0</v>
      </c>
      <c r="K845" t="s">
        <v>128</v>
      </c>
      <c r="R845" t="s">
        <v>190</v>
      </c>
      <c r="S845" t="str">
        <f t="shared" si="86"/>
        <v>31</v>
      </c>
      <c r="T845" t="s">
        <v>122</v>
      </c>
      <c r="W845" t="s">
        <v>1684</v>
      </c>
      <c r="Y845">
        <v>3344</v>
      </c>
      <c r="Z845" t="s">
        <v>192</v>
      </c>
      <c r="AB845" t="str">
        <f t="shared" si="87"/>
        <v>02616630022</v>
      </c>
      <c r="AC845" t="s">
        <v>116</v>
      </c>
      <c r="AD845" t="s">
        <v>193</v>
      </c>
      <c r="AF845">
        <v>2023</v>
      </c>
      <c r="AG845">
        <v>431</v>
      </c>
      <c r="AH845" t="str">
        <f t="shared" si="85"/>
        <v>1</v>
      </c>
      <c r="AI845" t="str">
        <f>"5230043614"</f>
        <v>5230043614</v>
      </c>
      <c r="AJ845" s="1">
        <v>44977</v>
      </c>
      <c r="AL845">
        <v>6.26</v>
      </c>
      <c r="AM845" t="str">
        <f>"9080006537"</f>
        <v>9080006537</v>
      </c>
      <c r="AN845">
        <v>2023</v>
      </c>
      <c r="AO845">
        <v>360</v>
      </c>
      <c r="AP845">
        <v>6.26</v>
      </c>
      <c r="AQ845">
        <v>0</v>
      </c>
      <c r="AR845">
        <v>11.01</v>
      </c>
      <c r="AS845" t="s">
        <v>194</v>
      </c>
      <c r="AT845">
        <v>5.69</v>
      </c>
      <c r="AU845">
        <v>0.56999999999999995</v>
      </c>
      <c r="AV845">
        <v>2023</v>
      </c>
      <c r="AW845">
        <v>239</v>
      </c>
      <c r="AX845">
        <v>670</v>
      </c>
      <c r="AY845">
        <v>0</v>
      </c>
      <c r="AZ845" t="s">
        <v>1685</v>
      </c>
      <c r="BA845">
        <v>6.26</v>
      </c>
      <c r="BB845" s="1">
        <v>45008</v>
      </c>
    </row>
    <row r="846" spans="1:54" x14ac:dyDescent="0.25">
      <c r="A846">
        <v>2023</v>
      </c>
      <c r="B846">
        <v>460</v>
      </c>
      <c r="C846" s="1">
        <v>45008</v>
      </c>
      <c r="D846">
        <v>2023</v>
      </c>
      <c r="E846">
        <v>2023</v>
      </c>
      <c r="F846">
        <v>17</v>
      </c>
      <c r="H846" t="s">
        <v>1683</v>
      </c>
      <c r="I846">
        <v>130</v>
      </c>
      <c r="J846">
        <v>0</v>
      </c>
      <c r="K846" t="s">
        <v>128</v>
      </c>
      <c r="R846" t="s">
        <v>190</v>
      </c>
      <c r="S846" t="str">
        <f t="shared" si="86"/>
        <v>31</v>
      </c>
      <c r="T846" t="s">
        <v>122</v>
      </c>
      <c r="W846" t="s">
        <v>1684</v>
      </c>
      <c r="Y846">
        <v>3344</v>
      </c>
      <c r="Z846" t="s">
        <v>192</v>
      </c>
      <c r="AB846" t="str">
        <f t="shared" si="87"/>
        <v>02616630022</v>
      </c>
      <c r="AC846" t="s">
        <v>116</v>
      </c>
      <c r="AD846" t="s">
        <v>193</v>
      </c>
      <c r="AF846">
        <v>2023</v>
      </c>
      <c r="AG846">
        <v>477</v>
      </c>
      <c r="AH846" t="str">
        <f t="shared" si="85"/>
        <v>1</v>
      </c>
      <c r="AI846" t="str">
        <f>"5230043556"</f>
        <v>5230043556</v>
      </c>
      <c r="AJ846" s="1">
        <v>44977</v>
      </c>
      <c r="AL846">
        <v>14.08</v>
      </c>
      <c r="AM846" t="str">
        <f>"9080216841"</f>
        <v>9080216841</v>
      </c>
      <c r="AN846">
        <v>2023</v>
      </c>
      <c r="AO846">
        <v>360</v>
      </c>
      <c r="AP846">
        <v>14.08</v>
      </c>
      <c r="AQ846">
        <v>0</v>
      </c>
      <c r="AR846">
        <v>11.01</v>
      </c>
      <c r="AS846" t="s">
        <v>177</v>
      </c>
      <c r="AT846">
        <v>11.54</v>
      </c>
      <c r="AU846">
        <v>2.54</v>
      </c>
      <c r="AV846">
        <v>2023</v>
      </c>
      <c r="AW846">
        <v>239</v>
      </c>
      <c r="AX846">
        <v>670</v>
      </c>
      <c r="AY846">
        <v>0</v>
      </c>
      <c r="AZ846" t="s">
        <v>1685</v>
      </c>
      <c r="BA846">
        <v>14.08</v>
      </c>
      <c r="BB846" s="1">
        <v>45008</v>
      </c>
    </row>
    <row r="847" spans="1:54" x14ac:dyDescent="0.25">
      <c r="A847">
        <v>2023</v>
      </c>
      <c r="B847">
        <v>461</v>
      </c>
      <c r="C847" s="1">
        <v>45008</v>
      </c>
      <c r="D847">
        <v>2023</v>
      </c>
      <c r="E847">
        <v>2023</v>
      </c>
      <c r="F847">
        <v>16</v>
      </c>
      <c r="H847" t="s">
        <v>1686</v>
      </c>
      <c r="I847">
        <v>130</v>
      </c>
      <c r="J847">
        <v>0</v>
      </c>
      <c r="K847" t="s">
        <v>128</v>
      </c>
      <c r="R847" t="s">
        <v>190</v>
      </c>
      <c r="S847" t="str">
        <f t="shared" si="86"/>
        <v>31</v>
      </c>
      <c r="T847" t="s">
        <v>122</v>
      </c>
      <c r="W847" t="s">
        <v>1687</v>
      </c>
      <c r="Y847">
        <v>3344</v>
      </c>
      <c r="Z847" t="s">
        <v>192</v>
      </c>
      <c r="AB847" t="str">
        <f t="shared" si="87"/>
        <v>02616630022</v>
      </c>
      <c r="AC847" t="s">
        <v>116</v>
      </c>
      <c r="AD847" t="s">
        <v>193</v>
      </c>
      <c r="AF847">
        <v>2023</v>
      </c>
      <c r="AG847">
        <v>417</v>
      </c>
      <c r="AH847" t="str">
        <f t="shared" si="85"/>
        <v>1</v>
      </c>
      <c r="AI847" t="str">
        <f>"5230043642"</f>
        <v>5230043642</v>
      </c>
      <c r="AJ847" s="1">
        <v>44977</v>
      </c>
      <c r="AL847">
        <v>183.73</v>
      </c>
      <c r="AM847" t="str">
        <f>"9079984149"</f>
        <v>9079984149</v>
      </c>
      <c r="AN847">
        <v>2023</v>
      </c>
      <c r="AO847">
        <v>361</v>
      </c>
      <c r="AP847">
        <v>183.73</v>
      </c>
      <c r="AQ847">
        <v>0</v>
      </c>
      <c r="AR847">
        <v>849.84</v>
      </c>
      <c r="AS847" t="s">
        <v>177</v>
      </c>
      <c r="AT847">
        <v>150.6</v>
      </c>
      <c r="AU847">
        <v>33.130000000000003</v>
      </c>
      <c r="AV847">
        <v>2023</v>
      </c>
      <c r="AW847">
        <v>240</v>
      </c>
      <c r="AX847">
        <v>670</v>
      </c>
      <c r="AY847">
        <v>0</v>
      </c>
      <c r="AZ847" t="s">
        <v>1688</v>
      </c>
      <c r="BA847">
        <v>183.73</v>
      </c>
      <c r="BB847" s="1">
        <v>45008</v>
      </c>
    </row>
    <row r="848" spans="1:54" x14ac:dyDescent="0.25">
      <c r="A848">
        <v>2023</v>
      </c>
      <c r="B848">
        <v>461</v>
      </c>
      <c r="C848" s="1">
        <v>45008</v>
      </c>
      <c r="D848">
        <v>2023</v>
      </c>
      <c r="E848">
        <v>2023</v>
      </c>
      <c r="F848">
        <v>16</v>
      </c>
      <c r="H848" t="s">
        <v>1686</v>
      </c>
      <c r="I848">
        <v>130</v>
      </c>
      <c r="J848">
        <v>0</v>
      </c>
      <c r="K848" t="s">
        <v>128</v>
      </c>
      <c r="R848" t="s">
        <v>190</v>
      </c>
      <c r="S848" t="str">
        <f t="shared" si="86"/>
        <v>31</v>
      </c>
      <c r="T848" t="s">
        <v>122</v>
      </c>
      <c r="W848" t="s">
        <v>1687</v>
      </c>
      <c r="Y848">
        <v>3344</v>
      </c>
      <c r="Z848" t="s">
        <v>192</v>
      </c>
      <c r="AB848" t="str">
        <f t="shared" si="87"/>
        <v>02616630022</v>
      </c>
      <c r="AC848" t="s">
        <v>116</v>
      </c>
      <c r="AD848" t="s">
        <v>193</v>
      </c>
      <c r="AF848">
        <v>2023</v>
      </c>
      <c r="AG848">
        <v>440</v>
      </c>
      <c r="AH848" t="str">
        <f t="shared" si="85"/>
        <v>1</v>
      </c>
      <c r="AI848" t="str">
        <f>"5230043627"</f>
        <v>5230043627</v>
      </c>
      <c r="AJ848" s="1">
        <v>44977</v>
      </c>
      <c r="AL848" s="2">
        <v>2192.35</v>
      </c>
      <c r="AM848" t="str">
        <f>"9079995215"</f>
        <v>9079995215</v>
      </c>
      <c r="AN848">
        <v>2023</v>
      </c>
      <c r="AO848">
        <v>361</v>
      </c>
      <c r="AP848" s="2">
        <v>2192.35</v>
      </c>
      <c r="AQ848">
        <v>0</v>
      </c>
      <c r="AR848">
        <v>849.84</v>
      </c>
      <c r="AS848" t="s">
        <v>177</v>
      </c>
      <c r="AT848">
        <v>1797.01</v>
      </c>
      <c r="AU848">
        <v>395.34</v>
      </c>
      <c r="AV848">
        <v>2023</v>
      </c>
      <c r="AW848">
        <v>240</v>
      </c>
      <c r="AX848">
        <v>670</v>
      </c>
      <c r="AY848">
        <v>0</v>
      </c>
      <c r="AZ848" t="s">
        <v>1688</v>
      </c>
      <c r="BA848">
        <v>2192.35</v>
      </c>
      <c r="BB848" s="1">
        <v>45008</v>
      </c>
    </row>
    <row r="849" spans="1:54" x14ac:dyDescent="0.25">
      <c r="A849">
        <v>2023</v>
      </c>
      <c r="B849">
        <v>461</v>
      </c>
      <c r="C849" s="1">
        <v>45008</v>
      </c>
      <c r="D849">
        <v>2023</v>
      </c>
      <c r="E849">
        <v>2023</v>
      </c>
      <c r="F849">
        <v>16</v>
      </c>
      <c r="H849" t="s">
        <v>1686</v>
      </c>
      <c r="I849">
        <v>130</v>
      </c>
      <c r="J849">
        <v>0</v>
      </c>
      <c r="K849" t="s">
        <v>128</v>
      </c>
      <c r="R849" t="s">
        <v>190</v>
      </c>
      <c r="S849" t="str">
        <f t="shared" si="86"/>
        <v>31</v>
      </c>
      <c r="T849" t="s">
        <v>122</v>
      </c>
      <c r="W849" t="s">
        <v>1687</v>
      </c>
      <c r="Y849">
        <v>3344</v>
      </c>
      <c r="Z849" t="s">
        <v>192</v>
      </c>
      <c r="AB849" t="str">
        <f t="shared" si="87"/>
        <v>02616630022</v>
      </c>
      <c r="AC849" t="s">
        <v>116</v>
      </c>
      <c r="AD849" t="s">
        <v>193</v>
      </c>
      <c r="AF849">
        <v>2023</v>
      </c>
      <c r="AG849">
        <v>467</v>
      </c>
      <c r="AH849" t="str">
        <f t="shared" si="85"/>
        <v>1</v>
      </c>
      <c r="AI849" t="str">
        <f>"5230043621"</f>
        <v>5230043621</v>
      </c>
      <c r="AJ849" s="1">
        <v>44977</v>
      </c>
      <c r="AL849">
        <v>41.57</v>
      </c>
      <c r="AM849" t="str">
        <f>"9080010166"</f>
        <v>9080010166</v>
      </c>
      <c r="AN849">
        <v>2023</v>
      </c>
      <c r="AO849">
        <v>361</v>
      </c>
      <c r="AP849">
        <v>41.57</v>
      </c>
      <c r="AQ849">
        <v>0</v>
      </c>
      <c r="AR849">
        <v>849.84</v>
      </c>
      <c r="AS849" t="s">
        <v>177</v>
      </c>
      <c r="AT849">
        <v>34.07</v>
      </c>
      <c r="AU849">
        <v>7.5</v>
      </c>
      <c r="AV849">
        <v>2023</v>
      </c>
      <c r="AW849">
        <v>240</v>
      </c>
      <c r="AX849">
        <v>670</v>
      </c>
      <c r="AY849">
        <v>0</v>
      </c>
      <c r="AZ849" t="s">
        <v>1688</v>
      </c>
      <c r="BA849">
        <v>41.57</v>
      </c>
      <c r="BB849" s="1">
        <v>45008</v>
      </c>
    </row>
    <row r="850" spans="1:54" x14ac:dyDescent="0.25">
      <c r="A850">
        <v>2023</v>
      </c>
      <c r="B850">
        <v>461</v>
      </c>
      <c r="C850" s="1">
        <v>45008</v>
      </c>
      <c r="D850">
        <v>2023</v>
      </c>
      <c r="E850">
        <v>2023</v>
      </c>
      <c r="F850">
        <v>16</v>
      </c>
      <c r="H850" t="s">
        <v>1686</v>
      </c>
      <c r="I850">
        <v>130</v>
      </c>
      <c r="J850">
        <v>0</v>
      </c>
      <c r="K850" t="s">
        <v>128</v>
      </c>
      <c r="R850" t="s">
        <v>190</v>
      </c>
      <c r="S850" t="str">
        <f t="shared" si="86"/>
        <v>31</v>
      </c>
      <c r="T850" t="s">
        <v>122</v>
      </c>
      <c r="W850" t="s">
        <v>1687</v>
      </c>
      <c r="Y850">
        <v>3344</v>
      </c>
      <c r="Z850" t="s">
        <v>192</v>
      </c>
      <c r="AB850" t="str">
        <f t="shared" si="87"/>
        <v>02616630022</v>
      </c>
      <c r="AC850" t="s">
        <v>116</v>
      </c>
      <c r="AD850" t="s">
        <v>193</v>
      </c>
      <c r="AF850">
        <v>2023</v>
      </c>
      <c r="AG850">
        <v>468</v>
      </c>
      <c r="AH850" t="str">
        <f t="shared" si="85"/>
        <v>1</v>
      </c>
      <c r="AI850" t="str">
        <f>"5230043653"</f>
        <v>5230043653</v>
      </c>
      <c r="AJ850" s="1">
        <v>44977</v>
      </c>
      <c r="AL850">
        <v>63.75</v>
      </c>
      <c r="AM850" t="str">
        <f>"9079984266"</f>
        <v>9079984266</v>
      </c>
      <c r="AN850">
        <v>2023</v>
      </c>
      <c r="AO850">
        <v>361</v>
      </c>
      <c r="AP850">
        <v>63.75</v>
      </c>
      <c r="AQ850">
        <v>0</v>
      </c>
      <c r="AR850">
        <v>849.84</v>
      </c>
      <c r="AS850" t="s">
        <v>177</v>
      </c>
      <c r="AT850">
        <v>52.25</v>
      </c>
      <c r="AU850">
        <v>11.5</v>
      </c>
      <c r="AV850">
        <v>2023</v>
      </c>
      <c r="AW850">
        <v>240</v>
      </c>
      <c r="AX850">
        <v>670</v>
      </c>
      <c r="AY850">
        <v>0</v>
      </c>
      <c r="AZ850" t="s">
        <v>1688</v>
      </c>
      <c r="BA850">
        <v>63.75</v>
      </c>
      <c r="BB850" s="1">
        <v>45008</v>
      </c>
    </row>
    <row r="851" spans="1:54" x14ac:dyDescent="0.25">
      <c r="A851">
        <v>2023</v>
      </c>
      <c r="B851">
        <v>461</v>
      </c>
      <c r="C851" s="1">
        <v>45008</v>
      </c>
      <c r="D851">
        <v>2023</v>
      </c>
      <c r="E851">
        <v>2023</v>
      </c>
      <c r="F851">
        <v>16</v>
      </c>
      <c r="H851" t="s">
        <v>1686</v>
      </c>
      <c r="I851">
        <v>130</v>
      </c>
      <c r="J851">
        <v>0</v>
      </c>
      <c r="K851" t="s">
        <v>128</v>
      </c>
      <c r="R851" t="s">
        <v>190</v>
      </c>
      <c r="S851" t="str">
        <f t="shared" si="86"/>
        <v>31</v>
      </c>
      <c r="T851" t="s">
        <v>122</v>
      </c>
      <c r="W851" t="s">
        <v>1687</v>
      </c>
      <c r="Y851">
        <v>3344</v>
      </c>
      <c r="Z851" t="s">
        <v>192</v>
      </c>
      <c r="AB851" t="str">
        <f t="shared" si="87"/>
        <v>02616630022</v>
      </c>
      <c r="AC851" t="s">
        <v>116</v>
      </c>
      <c r="AD851" t="s">
        <v>193</v>
      </c>
      <c r="AF851">
        <v>2023</v>
      </c>
      <c r="AG851">
        <v>470</v>
      </c>
      <c r="AH851" t="str">
        <f t="shared" si="85"/>
        <v>1</v>
      </c>
      <c r="AI851" t="str">
        <f>"5230043620"</f>
        <v>5230043620</v>
      </c>
      <c r="AJ851" s="1">
        <v>44977</v>
      </c>
      <c r="AL851">
        <v>456.32</v>
      </c>
      <c r="AM851" t="str">
        <f>"9079983269"</f>
        <v>9079983269</v>
      </c>
      <c r="AN851">
        <v>2023</v>
      </c>
      <c r="AO851">
        <v>361</v>
      </c>
      <c r="AP851">
        <v>456.32</v>
      </c>
      <c r="AQ851">
        <v>0</v>
      </c>
      <c r="AR851">
        <v>849.84</v>
      </c>
      <c r="AS851" t="s">
        <v>177</v>
      </c>
      <c r="AT851">
        <v>374.03</v>
      </c>
      <c r="AU851">
        <v>82.29</v>
      </c>
      <c r="AV851">
        <v>2023</v>
      </c>
      <c r="AW851">
        <v>240</v>
      </c>
      <c r="AX851">
        <v>670</v>
      </c>
      <c r="AY851">
        <v>0</v>
      </c>
      <c r="AZ851" t="s">
        <v>1688</v>
      </c>
      <c r="BA851">
        <v>456.32</v>
      </c>
      <c r="BB851" s="1">
        <v>45008</v>
      </c>
    </row>
    <row r="852" spans="1:54" x14ac:dyDescent="0.25">
      <c r="A852">
        <v>2023</v>
      </c>
      <c r="B852">
        <v>461</v>
      </c>
      <c r="C852" s="1">
        <v>45008</v>
      </c>
      <c r="D852">
        <v>2023</v>
      </c>
      <c r="E852">
        <v>2023</v>
      </c>
      <c r="F852">
        <v>16</v>
      </c>
      <c r="H852" t="s">
        <v>1686</v>
      </c>
      <c r="I852">
        <v>130</v>
      </c>
      <c r="J852">
        <v>0</v>
      </c>
      <c r="K852" t="s">
        <v>128</v>
      </c>
      <c r="R852" t="s">
        <v>190</v>
      </c>
      <c r="S852" t="str">
        <f t="shared" si="86"/>
        <v>31</v>
      </c>
      <c r="T852" t="s">
        <v>122</v>
      </c>
      <c r="W852" t="s">
        <v>1687</v>
      </c>
      <c r="Y852">
        <v>3344</v>
      </c>
      <c r="Z852" t="s">
        <v>192</v>
      </c>
      <c r="AB852" t="str">
        <f t="shared" si="87"/>
        <v>02616630022</v>
      </c>
      <c r="AC852" t="s">
        <v>116</v>
      </c>
      <c r="AD852" t="s">
        <v>193</v>
      </c>
      <c r="AF852">
        <v>2023</v>
      </c>
      <c r="AG852">
        <v>552</v>
      </c>
      <c r="AH852" t="str">
        <f t="shared" si="85"/>
        <v>1</v>
      </c>
      <c r="AI852" t="str">
        <f>"5230043539"</f>
        <v>5230043539</v>
      </c>
      <c r="AJ852" s="1">
        <v>44977</v>
      </c>
      <c r="AL852">
        <v>20.69</v>
      </c>
      <c r="AM852" t="str">
        <f>"9080228546"</f>
        <v>9080228546</v>
      </c>
      <c r="AN852">
        <v>2023</v>
      </c>
      <c r="AO852">
        <v>361</v>
      </c>
      <c r="AP852">
        <v>20.69</v>
      </c>
      <c r="AQ852">
        <v>0</v>
      </c>
      <c r="AR852">
        <v>849.84</v>
      </c>
      <c r="AS852" t="s">
        <v>177</v>
      </c>
      <c r="AT852">
        <v>16.96</v>
      </c>
      <c r="AU852">
        <v>3.73</v>
      </c>
      <c r="AV852">
        <v>2023</v>
      </c>
      <c r="AW852">
        <v>240</v>
      </c>
      <c r="AX852">
        <v>670</v>
      </c>
      <c r="AY852">
        <v>0</v>
      </c>
      <c r="AZ852" t="s">
        <v>1688</v>
      </c>
      <c r="BA852">
        <v>20.69</v>
      </c>
      <c r="BB852" s="1">
        <v>45008</v>
      </c>
    </row>
    <row r="853" spans="1:54" x14ac:dyDescent="0.25">
      <c r="A853">
        <v>2023</v>
      </c>
      <c r="B853">
        <v>461</v>
      </c>
      <c r="C853" s="1">
        <v>45008</v>
      </c>
      <c r="D853">
        <v>2023</v>
      </c>
      <c r="E853">
        <v>2023</v>
      </c>
      <c r="F853">
        <v>16</v>
      </c>
      <c r="H853" t="s">
        <v>1686</v>
      </c>
      <c r="I853">
        <v>130</v>
      </c>
      <c r="J853">
        <v>0</v>
      </c>
      <c r="K853" t="s">
        <v>128</v>
      </c>
      <c r="R853" t="s">
        <v>190</v>
      </c>
      <c r="S853" t="str">
        <f t="shared" si="86"/>
        <v>31</v>
      </c>
      <c r="T853" t="s">
        <v>122</v>
      </c>
      <c r="W853" t="s">
        <v>1687</v>
      </c>
      <c r="Y853">
        <v>3344</v>
      </c>
      <c r="Z853" t="s">
        <v>192</v>
      </c>
      <c r="AB853" t="str">
        <f t="shared" si="87"/>
        <v>02616630022</v>
      </c>
      <c r="AC853" t="s">
        <v>116</v>
      </c>
      <c r="AD853" t="s">
        <v>193</v>
      </c>
      <c r="AF853">
        <v>2023</v>
      </c>
      <c r="AG853">
        <v>558</v>
      </c>
      <c r="AH853" t="str">
        <f t="shared" si="85"/>
        <v>1</v>
      </c>
      <c r="AI853" t="str">
        <f>"5230043538"</f>
        <v>5230043538</v>
      </c>
      <c r="AJ853" s="1">
        <v>44977</v>
      </c>
      <c r="AL853" s="2">
        <v>1754.31</v>
      </c>
      <c r="AM853" t="str">
        <f>"9080222387"</f>
        <v>9080222387</v>
      </c>
      <c r="AN853">
        <v>2023</v>
      </c>
      <c r="AO853">
        <v>361</v>
      </c>
      <c r="AP853" s="2">
        <v>1754.31</v>
      </c>
      <c r="AQ853">
        <v>0</v>
      </c>
      <c r="AR853">
        <v>849.84</v>
      </c>
      <c r="AS853" t="s">
        <v>177</v>
      </c>
      <c r="AT853">
        <v>1437.96</v>
      </c>
      <c r="AU853">
        <v>316.35000000000002</v>
      </c>
      <c r="AV853">
        <v>2023</v>
      </c>
      <c r="AW853">
        <v>240</v>
      </c>
      <c r="AX853">
        <v>670</v>
      </c>
      <c r="AY853">
        <v>0</v>
      </c>
      <c r="AZ853" t="s">
        <v>1688</v>
      </c>
      <c r="BA853">
        <v>1754.31</v>
      </c>
      <c r="BB853" s="1">
        <v>45008</v>
      </c>
    </row>
    <row r="854" spans="1:54" x14ac:dyDescent="0.25">
      <c r="A854">
        <v>2023</v>
      </c>
      <c r="B854">
        <v>462</v>
      </c>
      <c r="C854" s="1">
        <v>45008</v>
      </c>
      <c r="D854">
        <v>2023</v>
      </c>
      <c r="E854">
        <v>2023</v>
      </c>
      <c r="F854">
        <v>15</v>
      </c>
      <c r="H854" t="s">
        <v>1689</v>
      </c>
      <c r="I854">
        <v>130</v>
      </c>
      <c r="J854">
        <v>0</v>
      </c>
      <c r="K854" t="s">
        <v>128</v>
      </c>
      <c r="R854" t="s">
        <v>190</v>
      </c>
      <c r="S854" t="str">
        <f t="shared" si="86"/>
        <v>31</v>
      </c>
      <c r="T854" t="s">
        <v>122</v>
      </c>
      <c r="W854" t="s">
        <v>1690</v>
      </c>
      <c r="Y854">
        <v>3344</v>
      </c>
      <c r="Z854" t="s">
        <v>192</v>
      </c>
      <c r="AB854" t="str">
        <f t="shared" si="87"/>
        <v>02616630022</v>
      </c>
      <c r="AC854" t="s">
        <v>116</v>
      </c>
      <c r="AD854" t="s">
        <v>193</v>
      </c>
      <c r="AF854">
        <v>2023</v>
      </c>
      <c r="AG854">
        <v>427</v>
      </c>
      <c r="AH854" t="str">
        <f t="shared" si="85"/>
        <v>1</v>
      </c>
      <c r="AI854" t="str">
        <f>"5230043597"</f>
        <v>5230043597</v>
      </c>
      <c r="AJ854" s="1">
        <v>44977</v>
      </c>
      <c r="AL854">
        <v>12.89</v>
      </c>
      <c r="AM854" t="str">
        <f>"9080005917"</f>
        <v>9080005917</v>
      </c>
      <c r="AN854">
        <v>2023</v>
      </c>
      <c r="AO854">
        <v>363</v>
      </c>
      <c r="AP854">
        <v>12.89</v>
      </c>
      <c r="AQ854">
        <v>0</v>
      </c>
      <c r="AR854">
        <v>251.37</v>
      </c>
      <c r="AS854" t="s">
        <v>194</v>
      </c>
      <c r="AT854">
        <v>11.72</v>
      </c>
      <c r="AU854">
        <v>1.17</v>
      </c>
      <c r="AV854">
        <v>2023</v>
      </c>
      <c r="AW854">
        <v>241</v>
      </c>
      <c r="AX854">
        <v>670</v>
      </c>
      <c r="AY854">
        <v>0</v>
      </c>
      <c r="AZ854" t="s">
        <v>1691</v>
      </c>
      <c r="BA854">
        <v>12.89</v>
      </c>
      <c r="BB854" s="1">
        <v>45008</v>
      </c>
    </row>
    <row r="855" spans="1:54" x14ac:dyDescent="0.25">
      <c r="A855">
        <v>2023</v>
      </c>
      <c r="B855">
        <v>462</v>
      </c>
      <c r="C855" s="1">
        <v>45008</v>
      </c>
      <c r="D855">
        <v>2023</v>
      </c>
      <c r="E855">
        <v>2023</v>
      </c>
      <c r="F855">
        <v>15</v>
      </c>
      <c r="H855" t="s">
        <v>1689</v>
      </c>
      <c r="I855">
        <v>130</v>
      </c>
      <c r="J855">
        <v>0</v>
      </c>
      <c r="K855" t="s">
        <v>128</v>
      </c>
      <c r="R855" t="s">
        <v>190</v>
      </c>
      <c r="S855" t="str">
        <f t="shared" si="86"/>
        <v>31</v>
      </c>
      <c r="T855" t="s">
        <v>122</v>
      </c>
      <c r="W855" t="s">
        <v>1690</v>
      </c>
      <c r="Y855">
        <v>3344</v>
      </c>
      <c r="Z855" t="s">
        <v>192</v>
      </c>
      <c r="AB855" t="str">
        <f t="shared" si="87"/>
        <v>02616630022</v>
      </c>
      <c r="AC855" t="s">
        <v>116</v>
      </c>
      <c r="AD855" t="s">
        <v>193</v>
      </c>
      <c r="AF855">
        <v>2023</v>
      </c>
      <c r="AG855">
        <v>428</v>
      </c>
      <c r="AH855" t="str">
        <f t="shared" si="85"/>
        <v>1</v>
      </c>
      <c r="AI855" t="str">
        <f>"5230043607"</f>
        <v>5230043607</v>
      </c>
      <c r="AJ855" s="1">
        <v>44977</v>
      </c>
      <c r="AL855">
        <v>41.86</v>
      </c>
      <c r="AM855" t="str">
        <f>"9080008940"</f>
        <v>9080008940</v>
      </c>
      <c r="AN855">
        <v>2023</v>
      </c>
      <c r="AO855">
        <v>363</v>
      </c>
      <c r="AP855">
        <v>41.86</v>
      </c>
      <c r="AQ855">
        <v>0</v>
      </c>
      <c r="AR855">
        <v>251.37</v>
      </c>
      <c r="AS855" t="s">
        <v>194</v>
      </c>
      <c r="AT855">
        <v>38.049999999999997</v>
      </c>
      <c r="AU855">
        <v>3.81</v>
      </c>
      <c r="AV855">
        <v>2023</v>
      </c>
      <c r="AW855">
        <v>241</v>
      </c>
      <c r="AX855">
        <v>670</v>
      </c>
      <c r="AY855">
        <v>0</v>
      </c>
      <c r="AZ855" t="s">
        <v>1691</v>
      </c>
      <c r="BA855">
        <v>41.86</v>
      </c>
      <c r="BB855" s="1">
        <v>45008</v>
      </c>
    </row>
    <row r="856" spans="1:54" x14ac:dyDescent="0.25">
      <c r="A856">
        <v>2023</v>
      </c>
      <c r="B856">
        <v>462</v>
      </c>
      <c r="C856" s="1">
        <v>45008</v>
      </c>
      <c r="D856">
        <v>2023</v>
      </c>
      <c r="E856">
        <v>2023</v>
      </c>
      <c r="F856">
        <v>15</v>
      </c>
      <c r="H856" t="s">
        <v>1689</v>
      </c>
      <c r="I856">
        <v>130</v>
      </c>
      <c r="J856">
        <v>0</v>
      </c>
      <c r="K856" t="s">
        <v>128</v>
      </c>
      <c r="R856" t="s">
        <v>190</v>
      </c>
      <c r="S856" t="str">
        <f t="shared" si="86"/>
        <v>31</v>
      </c>
      <c r="T856" t="s">
        <v>122</v>
      </c>
      <c r="W856" t="s">
        <v>1690</v>
      </c>
      <c r="Y856">
        <v>3344</v>
      </c>
      <c r="Z856" t="s">
        <v>192</v>
      </c>
      <c r="AB856" t="str">
        <f t="shared" si="87"/>
        <v>02616630022</v>
      </c>
      <c r="AC856" t="s">
        <v>116</v>
      </c>
      <c r="AD856" t="s">
        <v>193</v>
      </c>
      <c r="AF856">
        <v>2023</v>
      </c>
      <c r="AG856">
        <v>439</v>
      </c>
      <c r="AH856" t="str">
        <f t="shared" si="85"/>
        <v>1</v>
      </c>
      <c r="AI856" t="str">
        <f>"5230043616"</f>
        <v>5230043616</v>
      </c>
      <c r="AJ856" s="1">
        <v>44977</v>
      </c>
      <c r="AL856">
        <v>9.8000000000000007</v>
      </c>
      <c r="AM856" t="str">
        <f>"9080009842"</f>
        <v>9080009842</v>
      </c>
      <c r="AN856">
        <v>2023</v>
      </c>
      <c r="AO856">
        <v>363</v>
      </c>
      <c r="AP856">
        <v>9.8000000000000007</v>
      </c>
      <c r="AQ856">
        <v>0</v>
      </c>
      <c r="AR856">
        <v>251.37</v>
      </c>
      <c r="AS856" t="s">
        <v>194</v>
      </c>
      <c r="AT856">
        <v>8.91</v>
      </c>
      <c r="AU856">
        <v>0.89</v>
      </c>
      <c r="AV856">
        <v>2023</v>
      </c>
      <c r="AW856">
        <v>241</v>
      </c>
      <c r="AX856">
        <v>670</v>
      </c>
      <c r="AY856">
        <v>0</v>
      </c>
      <c r="AZ856" t="s">
        <v>1691</v>
      </c>
      <c r="BA856">
        <v>9.8000000000000007</v>
      </c>
      <c r="BB856" s="1">
        <v>45008</v>
      </c>
    </row>
    <row r="857" spans="1:54" x14ac:dyDescent="0.25">
      <c r="A857">
        <v>2023</v>
      </c>
      <c r="B857">
        <v>462</v>
      </c>
      <c r="C857" s="1">
        <v>45008</v>
      </c>
      <c r="D857">
        <v>2023</v>
      </c>
      <c r="E857">
        <v>2023</v>
      </c>
      <c r="F857">
        <v>15</v>
      </c>
      <c r="H857" t="s">
        <v>1689</v>
      </c>
      <c r="I857">
        <v>130</v>
      </c>
      <c r="J857">
        <v>0</v>
      </c>
      <c r="K857" t="s">
        <v>128</v>
      </c>
      <c r="R857" t="s">
        <v>190</v>
      </c>
      <c r="S857" t="str">
        <f t="shared" si="86"/>
        <v>31</v>
      </c>
      <c r="T857" t="s">
        <v>122</v>
      </c>
      <c r="W857" t="s">
        <v>1690</v>
      </c>
      <c r="Y857">
        <v>3344</v>
      </c>
      <c r="Z857" t="s">
        <v>192</v>
      </c>
      <c r="AB857" t="str">
        <f t="shared" si="87"/>
        <v>02616630022</v>
      </c>
      <c r="AC857" t="s">
        <v>116</v>
      </c>
      <c r="AD857" t="s">
        <v>193</v>
      </c>
      <c r="AF857">
        <v>2023</v>
      </c>
      <c r="AG857">
        <v>445</v>
      </c>
      <c r="AH857" t="str">
        <f t="shared" si="85"/>
        <v>1</v>
      </c>
      <c r="AI857" t="str">
        <f>"5230043540"</f>
        <v>5230043540</v>
      </c>
      <c r="AJ857" s="1">
        <v>44977</v>
      </c>
      <c r="AL857">
        <v>4.25</v>
      </c>
      <c r="AM857" t="str">
        <f>"9080222475"</f>
        <v>9080222475</v>
      </c>
      <c r="AN857">
        <v>2023</v>
      </c>
      <c r="AO857">
        <v>363</v>
      </c>
      <c r="AP857">
        <v>4.25</v>
      </c>
      <c r="AQ857">
        <v>0</v>
      </c>
      <c r="AR857">
        <v>251.37</v>
      </c>
      <c r="AS857" t="s">
        <v>194</v>
      </c>
      <c r="AT857">
        <v>3.86</v>
      </c>
      <c r="AU857">
        <v>0.39</v>
      </c>
      <c r="AV857">
        <v>2023</v>
      </c>
      <c r="AW857">
        <v>241</v>
      </c>
      <c r="AX857">
        <v>670</v>
      </c>
      <c r="AY857">
        <v>0</v>
      </c>
      <c r="AZ857" t="s">
        <v>1691</v>
      </c>
      <c r="BA857">
        <v>4.25</v>
      </c>
      <c r="BB857" s="1">
        <v>45008</v>
      </c>
    </row>
    <row r="858" spans="1:54" x14ac:dyDescent="0.25">
      <c r="A858">
        <v>2023</v>
      </c>
      <c r="B858">
        <v>462</v>
      </c>
      <c r="C858" s="1">
        <v>45008</v>
      </c>
      <c r="D858">
        <v>2023</v>
      </c>
      <c r="E858">
        <v>2023</v>
      </c>
      <c r="F858">
        <v>15</v>
      </c>
      <c r="H858" t="s">
        <v>1689</v>
      </c>
      <c r="I858">
        <v>130</v>
      </c>
      <c r="J858">
        <v>0</v>
      </c>
      <c r="K858" t="s">
        <v>128</v>
      </c>
      <c r="R858" t="s">
        <v>190</v>
      </c>
      <c r="S858" t="str">
        <f t="shared" si="86"/>
        <v>31</v>
      </c>
      <c r="T858" t="s">
        <v>122</v>
      </c>
      <c r="W858" t="s">
        <v>1690</v>
      </c>
      <c r="Y858">
        <v>3344</v>
      </c>
      <c r="Z858" t="s">
        <v>192</v>
      </c>
      <c r="AB858" t="str">
        <f t="shared" si="87"/>
        <v>02616630022</v>
      </c>
      <c r="AC858" t="s">
        <v>116</v>
      </c>
      <c r="AD858" t="s">
        <v>193</v>
      </c>
      <c r="AF858">
        <v>2023</v>
      </c>
      <c r="AG858">
        <v>450</v>
      </c>
      <c r="AH858" t="str">
        <f t="shared" si="85"/>
        <v>1</v>
      </c>
      <c r="AI858" t="str">
        <f>"5230043558"</f>
        <v>5230043558</v>
      </c>
      <c r="AJ858" s="1">
        <v>44977</v>
      </c>
      <c r="AL858">
        <v>4.26</v>
      </c>
      <c r="AM858" t="str">
        <f>"9080224996"</f>
        <v>9080224996</v>
      </c>
      <c r="AN858">
        <v>2023</v>
      </c>
      <c r="AO858">
        <v>363</v>
      </c>
      <c r="AP858">
        <v>4.26</v>
      </c>
      <c r="AQ858">
        <v>0</v>
      </c>
      <c r="AR858">
        <v>251.37</v>
      </c>
      <c r="AS858" t="s">
        <v>194</v>
      </c>
      <c r="AT858">
        <v>3.87</v>
      </c>
      <c r="AU858">
        <v>0.39</v>
      </c>
      <c r="AV858">
        <v>2023</v>
      </c>
      <c r="AW858">
        <v>241</v>
      </c>
      <c r="AX858">
        <v>670</v>
      </c>
      <c r="AY858">
        <v>0</v>
      </c>
      <c r="AZ858" t="s">
        <v>1691</v>
      </c>
      <c r="BA858">
        <v>4.26</v>
      </c>
      <c r="BB858" s="1">
        <v>45008</v>
      </c>
    </row>
    <row r="859" spans="1:54" x14ac:dyDescent="0.25">
      <c r="A859">
        <v>2023</v>
      </c>
      <c r="B859">
        <v>462</v>
      </c>
      <c r="C859" s="1">
        <v>45008</v>
      </c>
      <c r="D859">
        <v>2023</v>
      </c>
      <c r="E859">
        <v>2023</v>
      </c>
      <c r="F859">
        <v>15</v>
      </c>
      <c r="H859" t="s">
        <v>1689</v>
      </c>
      <c r="I859">
        <v>130</v>
      </c>
      <c r="J859">
        <v>0</v>
      </c>
      <c r="K859" t="s">
        <v>128</v>
      </c>
      <c r="R859" t="s">
        <v>190</v>
      </c>
      <c r="S859" t="str">
        <f t="shared" si="86"/>
        <v>31</v>
      </c>
      <c r="T859" t="s">
        <v>122</v>
      </c>
      <c r="W859" t="s">
        <v>1690</v>
      </c>
      <c r="Y859">
        <v>3344</v>
      </c>
      <c r="Z859" t="s">
        <v>192</v>
      </c>
      <c r="AB859" t="str">
        <f t="shared" si="87"/>
        <v>02616630022</v>
      </c>
      <c r="AC859" t="s">
        <v>116</v>
      </c>
      <c r="AD859" t="s">
        <v>193</v>
      </c>
      <c r="AF859">
        <v>2023</v>
      </c>
      <c r="AG859">
        <v>452</v>
      </c>
      <c r="AH859" t="str">
        <f t="shared" si="85"/>
        <v>1</v>
      </c>
      <c r="AI859" t="str">
        <f>"5230043531"</f>
        <v>5230043531</v>
      </c>
      <c r="AJ859" s="1">
        <v>44977</v>
      </c>
      <c r="AL859">
        <v>4.26</v>
      </c>
      <c r="AM859" t="str">
        <f>"9080205796"</f>
        <v>9080205796</v>
      </c>
      <c r="AN859">
        <v>2023</v>
      </c>
      <c r="AO859">
        <v>363</v>
      </c>
      <c r="AP859">
        <v>4.26</v>
      </c>
      <c r="AQ859">
        <v>0</v>
      </c>
      <c r="AR859">
        <v>251.37</v>
      </c>
      <c r="AS859" t="s">
        <v>194</v>
      </c>
      <c r="AT859">
        <v>3.87</v>
      </c>
      <c r="AU859">
        <v>0.39</v>
      </c>
      <c r="AV859">
        <v>2023</v>
      </c>
      <c r="AW859">
        <v>241</v>
      </c>
      <c r="AX859">
        <v>670</v>
      </c>
      <c r="AY859">
        <v>0</v>
      </c>
      <c r="AZ859" t="s">
        <v>1691</v>
      </c>
      <c r="BA859">
        <v>4.26</v>
      </c>
      <c r="BB859" s="1">
        <v>45008</v>
      </c>
    </row>
    <row r="860" spans="1:54" x14ac:dyDescent="0.25">
      <c r="A860">
        <v>2023</v>
      </c>
      <c r="B860">
        <v>462</v>
      </c>
      <c r="C860" s="1">
        <v>45008</v>
      </c>
      <c r="D860">
        <v>2023</v>
      </c>
      <c r="E860">
        <v>2023</v>
      </c>
      <c r="F860">
        <v>15</v>
      </c>
      <c r="H860" t="s">
        <v>1689</v>
      </c>
      <c r="I860">
        <v>130</v>
      </c>
      <c r="J860">
        <v>0</v>
      </c>
      <c r="K860" t="s">
        <v>128</v>
      </c>
      <c r="R860" t="s">
        <v>190</v>
      </c>
      <c r="S860" t="str">
        <f t="shared" si="86"/>
        <v>31</v>
      </c>
      <c r="T860" t="s">
        <v>122</v>
      </c>
      <c r="W860" t="s">
        <v>1690</v>
      </c>
      <c r="Y860">
        <v>3344</v>
      </c>
      <c r="Z860" t="s">
        <v>192</v>
      </c>
      <c r="AB860" t="str">
        <f t="shared" si="87"/>
        <v>02616630022</v>
      </c>
      <c r="AC860" t="s">
        <v>116</v>
      </c>
      <c r="AD860" t="s">
        <v>193</v>
      </c>
      <c r="AF860">
        <v>2023</v>
      </c>
      <c r="AG860">
        <v>455</v>
      </c>
      <c r="AH860" t="str">
        <f t="shared" si="85"/>
        <v>1</v>
      </c>
      <c r="AI860" t="str">
        <f>"5230043619"</f>
        <v>5230043619</v>
      </c>
      <c r="AJ860" s="1">
        <v>44977</v>
      </c>
      <c r="AL860">
        <v>60.64</v>
      </c>
      <c r="AM860" t="str">
        <f>"9080006294"</f>
        <v>9080006294</v>
      </c>
      <c r="AN860">
        <v>2023</v>
      </c>
      <c r="AO860">
        <v>363</v>
      </c>
      <c r="AP860">
        <v>60.64</v>
      </c>
      <c r="AQ860">
        <v>0</v>
      </c>
      <c r="AR860">
        <v>251.37</v>
      </c>
      <c r="AS860" t="s">
        <v>194</v>
      </c>
      <c r="AT860">
        <v>55.13</v>
      </c>
      <c r="AU860">
        <v>5.51</v>
      </c>
      <c r="AV860">
        <v>2023</v>
      </c>
      <c r="AW860">
        <v>241</v>
      </c>
      <c r="AX860">
        <v>670</v>
      </c>
      <c r="AY860">
        <v>0</v>
      </c>
      <c r="AZ860" t="s">
        <v>1691</v>
      </c>
      <c r="BA860">
        <v>60.64</v>
      </c>
      <c r="BB860" s="1">
        <v>45008</v>
      </c>
    </row>
    <row r="861" spans="1:54" x14ac:dyDescent="0.25">
      <c r="A861">
        <v>2023</v>
      </c>
      <c r="B861">
        <v>462</v>
      </c>
      <c r="C861" s="1">
        <v>45008</v>
      </c>
      <c r="D861">
        <v>2023</v>
      </c>
      <c r="E861">
        <v>2023</v>
      </c>
      <c r="F861">
        <v>15</v>
      </c>
      <c r="H861" t="s">
        <v>1689</v>
      </c>
      <c r="I861">
        <v>130</v>
      </c>
      <c r="J861">
        <v>0</v>
      </c>
      <c r="K861" t="s">
        <v>128</v>
      </c>
      <c r="R861" t="s">
        <v>190</v>
      </c>
      <c r="S861" t="str">
        <f t="shared" si="86"/>
        <v>31</v>
      </c>
      <c r="T861" t="s">
        <v>122</v>
      </c>
      <c r="W861" t="s">
        <v>1690</v>
      </c>
      <c r="Y861">
        <v>3344</v>
      </c>
      <c r="Z861" t="s">
        <v>192</v>
      </c>
      <c r="AB861" t="str">
        <f t="shared" si="87"/>
        <v>02616630022</v>
      </c>
      <c r="AC861" t="s">
        <v>116</v>
      </c>
      <c r="AD861" t="s">
        <v>193</v>
      </c>
      <c r="AF861">
        <v>2023</v>
      </c>
      <c r="AG861">
        <v>459</v>
      </c>
      <c r="AH861" t="str">
        <f t="shared" si="85"/>
        <v>1</v>
      </c>
      <c r="AI861" t="str">
        <f>"5230043526"</f>
        <v>5230043526</v>
      </c>
      <c r="AJ861" s="1">
        <v>44977</v>
      </c>
      <c r="AL861">
        <v>4.26</v>
      </c>
      <c r="AM861" t="str">
        <f>"9080262799"</f>
        <v>9080262799</v>
      </c>
      <c r="AN861">
        <v>2023</v>
      </c>
      <c r="AO861">
        <v>363</v>
      </c>
      <c r="AP861">
        <v>4.26</v>
      </c>
      <c r="AQ861">
        <v>0</v>
      </c>
      <c r="AR861">
        <v>251.37</v>
      </c>
      <c r="AS861" t="s">
        <v>194</v>
      </c>
      <c r="AT861">
        <v>3.87</v>
      </c>
      <c r="AU861">
        <v>0.39</v>
      </c>
      <c r="AV861">
        <v>2023</v>
      </c>
      <c r="AW861">
        <v>241</v>
      </c>
      <c r="AX861">
        <v>670</v>
      </c>
      <c r="AY861">
        <v>0</v>
      </c>
      <c r="AZ861" t="s">
        <v>1691</v>
      </c>
      <c r="BA861">
        <v>4.26</v>
      </c>
      <c r="BB861" s="1">
        <v>45008</v>
      </c>
    </row>
    <row r="862" spans="1:54" x14ac:dyDescent="0.25">
      <c r="A862">
        <v>2023</v>
      </c>
      <c r="B862">
        <v>462</v>
      </c>
      <c r="C862" s="1">
        <v>45008</v>
      </c>
      <c r="D862">
        <v>2023</v>
      </c>
      <c r="E862">
        <v>2023</v>
      </c>
      <c r="F862">
        <v>15</v>
      </c>
      <c r="H862" t="s">
        <v>1689</v>
      </c>
      <c r="I862">
        <v>130</v>
      </c>
      <c r="J862">
        <v>0</v>
      </c>
      <c r="K862" t="s">
        <v>128</v>
      </c>
      <c r="R862" t="s">
        <v>190</v>
      </c>
      <c r="S862" t="str">
        <f t="shared" si="86"/>
        <v>31</v>
      </c>
      <c r="T862" t="s">
        <v>122</v>
      </c>
      <c r="W862" t="s">
        <v>1690</v>
      </c>
      <c r="Y862">
        <v>3344</v>
      </c>
      <c r="Z862" t="s">
        <v>192</v>
      </c>
      <c r="AB862" t="str">
        <f t="shared" si="87"/>
        <v>02616630022</v>
      </c>
      <c r="AC862" t="s">
        <v>116</v>
      </c>
      <c r="AD862" t="s">
        <v>193</v>
      </c>
      <c r="AF862">
        <v>2023</v>
      </c>
      <c r="AG862">
        <v>462</v>
      </c>
      <c r="AH862" t="str">
        <f t="shared" si="85"/>
        <v>1</v>
      </c>
      <c r="AI862" t="str">
        <f>"5230043617"</f>
        <v>5230043617</v>
      </c>
      <c r="AJ862" s="1">
        <v>44977</v>
      </c>
      <c r="AL862">
        <v>35.49</v>
      </c>
      <c r="AM862" t="str">
        <f>"9080007847"</f>
        <v>9080007847</v>
      </c>
      <c r="AN862">
        <v>2023</v>
      </c>
      <c r="AO862">
        <v>363</v>
      </c>
      <c r="AP862">
        <v>35.49</v>
      </c>
      <c r="AQ862">
        <v>0</v>
      </c>
      <c r="AR862">
        <v>251.37</v>
      </c>
      <c r="AS862" t="s">
        <v>194</v>
      </c>
      <c r="AT862">
        <v>32.26</v>
      </c>
      <c r="AU862">
        <v>3.23</v>
      </c>
      <c r="AV862">
        <v>2023</v>
      </c>
      <c r="AW862">
        <v>241</v>
      </c>
      <c r="AX862">
        <v>670</v>
      </c>
      <c r="AY862">
        <v>0</v>
      </c>
      <c r="AZ862" t="s">
        <v>1691</v>
      </c>
      <c r="BA862">
        <v>35.49</v>
      </c>
      <c r="BB862" s="1">
        <v>45008</v>
      </c>
    </row>
    <row r="863" spans="1:54" x14ac:dyDescent="0.25">
      <c r="A863">
        <v>2023</v>
      </c>
      <c r="B863">
        <v>462</v>
      </c>
      <c r="C863" s="1">
        <v>45008</v>
      </c>
      <c r="D863">
        <v>2023</v>
      </c>
      <c r="E863">
        <v>2023</v>
      </c>
      <c r="F863">
        <v>15</v>
      </c>
      <c r="H863" t="s">
        <v>1689</v>
      </c>
      <c r="I863">
        <v>130</v>
      </c>
      <c r="J863">
        <v>0</v>
      </c>
      <c r="K863" t="s">
        <v>128</v>
      </c>
      <c r="R863" t="s">
        <v>190</v>
      </c>
      <c r="S863" t="str">
        <f t="shared" si="86"/>
        <v>31</v>
      </c>
      <c r="T863" t="s">
        <v>122</v>
      </c>
      <c r="W863" t="s">
        <v>1690</v>
      </c>
      <c r="Y863">
        <v>3344</v>
      </c>
      <c r="Z863" t="s">
        <v>192</v>
      </c>
      <c r="AB863" t="str">
        <f t="shared" si="87"/>
        <v>02616630022</v>
      </c>
      <c r="AC863" t="s">
        <v>116</v>
      </c>
      <c r="AD863" t="s">
        <v>193</v>
      </c>
      <c r="AF863">
        <v>2023</v>
      </c>
      <c r="AG863">
        <v>480</v>
      </c>
      <c r="AH863" t="str">
        <f t="shared" si="85"/>
        <v>1</v>
      </c>
      <c r="AI863" t="str">
        <f>"5230043543"</f>
        <v>5230043543</v>
      </c>
      <c r="AJ863" s="1">
        <v>44977</v>
      </c>
      <c r="AL863">
        <v>52.72</v>
      </c>
      <c r="AM863" t="str">
        <f>"9080227806"</f>
        <v>9080227806</v>
      </c>
      <c r="AN863">
        <v>2023</v>
      </c>
      <c r="AO863">
        <v>363</v>
      </c>
      <c r="AP863">
        <v>52.72</v>
      </c>
      <c r="AQ863">
        <v>0</v>
      </c>
      <c r="AR863">
        <v>251.37</v>
      </c>
      <c r="AS863" t="s">
        <v>194</v>
      </c>
      <c r="AT863">
        <v>47.93</v>
      </c>
      <c r="AU863">
        <v>4.79</v>
      </c>
      <c r="AV863">
        <v>2023</v>
      </c>
      <c r="AW863">
        <v>241</v>
      </c>
      <c r="AX863">
        <v>670</v>
      </c>
      <c r="AY863">
        <v>0</v>
      </c>
      <c r="AZ863" t="s">
        <v>1691</v>
      </c>
      <c r="BA863">
        <v>52.72</v>
      </c>
      <c r="BB863" s="1">
        <v>45008</v>
      </c>
    </row>
    <row r="864" spans="1:54" x14ac:dyDescent="0.25">
      <c r="A864">
        <v>2023</v>
      </c>
      <c r="B864">
        <v>462</v>
      </c>
      <c r="C864" s="1">
        <v>45008</v>
      </c>
      <c r="D864">
        <v>2023</v>
      </c>
      <c r="E864">
        <v>2023</v>
      </c>
      <c r="F864">
        <v>15</v>
      </c>
      <c r="H864" t="s">
        <v>1689</v>
      </c>
      <c r="I864">
        <v>130</v>
      </c>
      <c r="J864">
        <v>0</v>
      </c>
      <c r="K864" t="s">
        <v>128</v>
      </c>
      <c r="R864" t="s">
        <v>190</v>
      </c>
      <c r="S864" t="str">
        <f t="shared" si="86"/>
        <v>31</v>
      </c>
      <c r="T864" t="s">
        <v>122</v>
      </c>
      <c r="W864" t="s">
        <v>1690</v>
      </c>
      <c r="Y864">
        <v>3344</v>
      </c>
      <c r="Z864" t="s">
        <v>192</v>
      </c>
      <c r="AB864" t="str">
        <f t="shared" si="87"/>
        <v>02616630022</v>
      </c>
      <c r="AC864" t="s">
        <v>116</v>
      </c>
      <c r="AD864" t="s">
        <v>193</v>
      </c>
      <c r="AF864">
        <v>2023</v>
      </c>
      <c r="AG864">
        <v>485</v>
      </c>
      <c r="AH864" t="str">
        <f t="shared" si="85"/>
        <v>1</v>
      </c>
      <c r="AI864" t="str">
        <f>"5230043528"</f>
        <v>5230043528</v>
      </c>
      <c r="AJ864" s="1">
        <v>44977</v>
      </c>
      <c r="AL864">
        <v>4.26</v>
      </c>
      <c r="AM864" t="str">
        <f>"9080228404"</f>
        <v>9080228404</v>
      </c>
      <c r="AN864">
        <v>2023</v>
      </c>
      <c r="AO864">
        <v>363</v>
      </c>
      <c r="AP864">
        <v>4.26</v>
      </c>
      <c r="AQ864">
        <v>0</v>
      </c>
      <c r="AR864">
        <v>251.37</v>
      </c>
      <c r="AS864" t="s">
        <v>194</v>
      </c>
      <c r="AT864">
        <v>3.87</v>
      </c>
      <c r="AU864">
        <v>0.39</v>
      </c>
      <c r="AV864">
        <v>2023</v>
      </c>
      <c r="AW864">
        <v>241</v>
      </c>
      <c r="AX864">
        <v>670</v>
      </c>
      <c r="AY864">
        <v>0</v>
      </c>
      <c r="AZ864" t="s">
        <v>1691</v>
      </c>
      <c r="BA864">
        <v>4.26</v>
      </c>
      <c r="BB864" s="1">
        <v>45008</v>
      </c>
    </row>
    <row r="865" spans="1:54" x14ac:dyDescent="0.25">
      <c r="A865">
        <v>2023</v>
      </c>
      <c r="B865">
        <v>462</v>
      </c>
      <c r="C865" s="1">
        <v>45008</v>
      </c>
      <c r="D865">
        <v>2023</v>
      </c>
      <c r="E865">
        <v>2023</v>
      </c>
      <c r="F865">
        <v>15</v>
      </c>
      <c r="H865" t="s">
        <v>1689</v>
      </c>
      <c r="I865">
        <v>130</v>
      </c>
      <c r="J865">
        <v>0</v>
      </c>
      <c r="K865" t="s">
        <v>128</v>
      </c>
      <c r="R865" t="s">
        <v>190</v>
      </c>
      <c r="S865" t="str">
        <f t="shared" si="86"/>
        <v>31</v>
      </c>
      <c r="T865" t="s">
        <v>122</v>
      </c>
      <c r="W865" t="s">
        <v>1690</v>
      </c>
      <c r="Y865">
        <v>3344</v>
      </c>
      <c r="Z865" t="s">
        <v>192</v>
      </c>
      <c r="AB865" t="str">
        <f t="shared" si="87"/>
        <v>02616630022</v>
      </c>
      <c r="AC865" t="s">
        <v>116</v>
      </c>
      <c r="AD865" t="s">
        <v>193</v>
      </c>
      <c r="AF865">
        <v>2023</v>
      </c>
      <c r="AG865">
        <v>490</v>
      </c>
      <c r="AH865" t="str">
        <f t="shared" si="85"/>
        <v>1</v>
      </c>
      <c r="AI865" t="str">
        <f>"5230043590"</f>
        <v>5230043590</v>
      </c>
      <c r="AJ865" s="1">
        <v>44977</v>
      </c>
      <c r="AL865">
        <v>30.11</v>
      </c>
      <c r="AM865" t="str">
        <f>"9080224177"</f>
        <v>9080224177</v>
      </c>
      <c r="AN865">
        <v>2023</v>
      </c>
      <c r="AO865">
        <v>363</v>
      </c>
      <c r="AP865">
        <v>30.11</v>
      </c>
      <c r="AQ865">
        <v>0</v>
      </c>
      <c r="AR865">
        <v>251.37</v>
      </c>
      <c r="AS865" t="s">
        <v>194</v>
      </c>
      <c r="AT865">
        <v>27.37</v>
      </c>
      <c r="AU865">
        <v>2.74</v>
      </c>
      <c r="AV865">
        <v>2023</v>
      </c>
      <c r="AW865">
        <v>241</v>
      </c>
      <c r="AX865">
        <v>670</v>
      </c>
      <c r="AY865">
        <v>0</v>
      </c>
      <c r="AZ865" t="s">
        <v>1691</v>
      </c>
      <c r="BA865">
        <v>30.11</v>
      </c>
      <c r="BB865" s="1">
        <v>45008</v>
      </c>
    </row>
    <row r="866" spans="1:54" x14ac:dyDescent="0.25">
      <c r="A866">
        <v>2023</v>
      </c>
      <c r="B866">
        <v>462</v>
      </c>
      <c r="C866" s="1">
        <v>45008</v>
      </c>
      <c r="D866">
        <v>2023</v>
      </c>
      <c r="E866">
        <v>2023</v>
      </c>
      <c r="F866">
        <v>15</v>
      </c>
      <c r="H866" t="s">
        <v>1689</v>
      </c>
      <c r="I866">
        <v>130</v>
      </c>
      <c r="J866">
        <v>0</v>
      </c>
      <c r="K866" t="s">
        <v>128</v>
      </c>
      <c r="R866" t="s">
        <v>190</v>
      </c>
      <c r="S866" t="str">
        <f t="shared" si="86"/>
        <v>31</v>
      </c>
      <c r="T866" t="s">
        <v>122</v>
      </c>
      <c r="W866" t="s">
        <v>1690</v>
      </c>
      <c r="Y866">
        <v>3344</v>
      </c>
      <c r="Z866" t="s">
        <v>192</v>
      </c>
      <c r="AB866" t="str">
        <f t="shared" si="87"/>
        <v>02616630022</v>
      </c>
      <c r="AC866" t="s">
        <v>116</v>
      </c>
      <c r="AD866" t="s">
        <v>193</v>
      </c>
      <c r="AF866">
        <v>2023</v>
      </c>
      <c r="AG866">
        <v>491</v>
      </c>
      <c r="AH866" t="str">
        <f t="shared" si="85"/>
        <v>1</v>
      </c>
      <c r="AI866" t="str">
        <f>"5230043536"</f>
        <v>5230043536</v>
      </c>
      <c r="AJ866" s="1">
        <v>44977</v>
      </c>
      <c r="AL866">
        <v>250.1</v>
      </c>
      <c r="AM866" t="str">
        <f>"9080222729"</f>
        <v>9080222729</v>
      </c>
      <c r="AN866">
        <v>2023</v>
      </c>
      <c r="AO866">
        <v>363</v>
      </c>
      <c r="AP866">
        <v>250.1</v>
      </c>
      <c r="AQ866">
        <v>0</v>
      </c>
      <c r="AR866">
        <v>251.37</v>
      </c>
      <c r="AS866" t="s">
        <v>194</v>
      </c>
      <c r="AT866">
        <v>227.36</v>
      </c>
      <c r="AU866">
        <v>22.74</v>
      </c>
      <c r="AV866">
        <v>2023</v>
      </c>
      <c r="AW866">
        <v>241</v>
      </c>
      <c r="AX866">
        <v>670</v>
      </c>
      <c r="AY866">
        <v>0</v>
      </c>
      <c r="AZ866" t="s">
        <v>1691</v>
      </c>
      <c r="BA866">
        <v>250.1</v>
      </c>
      <c r="BB866" s="1">
        <v>45008</v>
      </c>
    </row>
    <row r="867" spans="1:54" x14ac:dyDescent="0.25">
      <c r="A867">
        <v>2023</v>
      </c>
      <c r="B867">
        <v>462</v>
      </c>
      <c r="C867" s="1">
        <v>45008</v>
      </c>
      <c r="D867">
        <v>2023</v>
      </c>
      <c r="E867">
        <v>2023</v>
      </c>
      <c r="F867">
        <v>15</v>
      </c>
      <c r="H867" t="s">
        <v>1689</v>
      </c>
      <c r="I867">
        <v>130</v>
      </c>
      <c r="J867">
        <v>0</v>
      </c>
      <c r="K867" t="s">
        <v>128</v>
      </c>
      <c r="R867" t="s">
        <v>190</v>
      </c>
      <c r="S867" t="str">
        <f t="shared" si="86"/>
        <v>31</v>
      </c>
      <c r="T867" t="s">
        <v>122</v>
      </c>
      <c r="W867" t="s">
        <v>1690</v>
      </c>
      <c r="Y867">
        <v>3344</v>
      </c>
      <c r="Z867" t="s">
        <v>192</v>
      </c>
      <c r="AB867" t="str">
        <f t="shared" si="87"/>
        <v>02616630022</v>
      </c>
      <c r="AC867" t="s">
        <v>116</v>
      </c>
      <c r="AD867" t="s">
        <v>193</v>
      </c>
      <c r="AF867">
        <v>2023</v>
      </c>
      <c r="AG867">
        <v>493</v>
      </c>
      <c r="AH867" t="str">
        <f t="shared" si="85"/>
        <v>1</v>
      </c>
      <c r="AI867" t="str">
        <f>"5230043562"</f>
        <v>5230043562</v>
      </c>
      <c r="AJ867" s="1">
        <v>44977</v>
      </c>
      <c r="AL867">
        <v>457.22</v>
      </c>
      <c r="AM867" t="str">
        <f>"9080224512"</f>
        <v>9080224512</v>
      </c>
      <c r="AN867">
        <v>2023</v>
      </c>
      <c r="AO867">
        <v>363</v>
      </c>
      <c r="AP867">
        <v>457.22</v>
      </c>
      <c r="AQ867">
        <v>0</v>
      </c>
      <c r="AR867">
        <v>251.37</v>
      </c>
      <c r="AS867" t="s">
        <v>194</v>
      </c>
      <c r="AT867">
        <v>415.65</v>
      </c>
      <c r="AU867">
        <v>41.57</v>
      </c>
      <c r="AV867">
        <v>2023</v>
      </c>
      <c r="AW867">
        <v>241</v>
      </c>
      <c r="AX867">
        <v>670</v>
      </c>
      <c r="AY867">
        <v>0</v>
      </c>
      <c r="AZ867" t="s">
        <v>1691</v>
      </c>
      <c r="BA867">
        <v>457.22</v>
      </c>
      <c r="BB867" s="1">
        <v>45008</v>
      </c>
    </row>
    <row r="868" spans="1:54" x14ac:dyDescent="0.25">
      <c r="A868">
        <v>2023</v>
      </c>
      <c r="B868">
        <v>462</v>
      </c>
      <c r="C868" s="1">
        <v>45008</v>
      </c>
      <c r="D868">
        <v>2023</v>
      </c>
      <c r="E868">
        <v>2023</v>
      </c>
      <c r="F868">
        <v>15</v>
      </c>
      <c r="H868" t="s">
        <v>1689</v>
      </c>
      <c r="I868">
        <v>130</v>
      </c>
      <c r="J868">
        <v>0</v>
      </c>
      <c r="K868" t="s">
        <v>128</v>
      </c>
      <c r="R868" t="s">
        <v>190</v>
      </c>
      <c r="S868" t="str">
        <f t="shared" si="86"/>
        <v>31</v>
      </c>
      <c r="T868" t="s">
        <v>122</v>
      </c>
      <c r="W868" t="s">
        <v>1690</v>
      </c>
      <c r="Y868">
        <v>3344</v>
      </c>
      <c r="Z868" t="s">
        <v>192</v>
      </c>
      <c r="AB868" t="str">
        <f t="shared" si="87"/>
        <v>02616630022</v>
      </c>
      <c r="AC868" t="s">
        <v>116</v>
      </c>
      <c r="AD868" t="s">
        <v>193</v>
      </c>
      <c r="AF868">
        <v>2023</v>
      </c>
      <c r="AG868">
        <v>499</v>
      </c>
      <c r="AH868" t="str">
        <f t="shared" si="85"/>
        <v>1</v>
      </c>
      <c r="AI868" t="str">
        <f>"5230043537"</f>
        <v>5230043537</v>
      </c>
      <c r="AJ868" s="1">
        <v>44977</v>
      </c>
      <c r="AL868">
        <v>9.7899999999999991</v>
      </c>
      <c r="AM868" t="str">
        <f>"9080194918"</f>
        <v>9080194918</v>
      </c>
      <c r="AN868">
        <v>2023</v>
      </c>
      <c r="AO868">
        <v>363</v>
      </c>
      <c r="AP868">
        <v>9.7899999999999991</v>
      </c>
      <c r="AQ868">
        <v>0</v>
      </c>
      <c r="AR868">
        <v>251.37</v>
      </c>
      <c r="AS868" t="s">
        <v>194</v>
      </c>
      <c r="AT868">
        <v>8.9</v>
      </c>
      <c r="AU868">
        <v>0.89</v>
      </c>
      <c r="AV868">
        <v>2023</v>
      </c>
      <c r="AW868">
        <v>241</v>
      </c>
      <c r="AX868">
        <v>670</v>
      </c>
      <c r="AY868">
        <v>0</v>
      </c>
      <c r="AZ868" t="s">
        <v>1691</v>
      </c>
      <c r="BA868">
        <v>9.7899999999999991</v>
      </c>
      <c r="BB868" s="1">
        <v>45008</v>
      </c>
    </row>
    <row r="869" spans="1:54" x14ac:dyDescent="0.25">
      <c r="A869">
        <v>2023</v>
      </c>
      <c r="B869">
        <v>462</v>
      </c>
      <c r="C869" s="1">
        <v>45008</v>
      </c>
      <c r="D869">
        <v>2023</v>
      </c>
      <c r="E869">
        <v>2023</v>
      </c>
      <c r="F869">
        <v>15</v>
      </c>
      <c r="H869" t="s">
        <v>1689</v>
      </c>
      <c r="I869">
        <v>130</v>
      </c>
      <c r="J869">
        <v>0</v>
      </c>
      <c r="K869" t="s">
        <v>128</v>
      </c>
      <c r="R869" t="s">
        <v>190</v>
      </c>
      <c r="S869" t="str">
        <f t="shared" si="86"/>
        <v>31</v>
      </c>
      <c r="T869" t="s">
        <v>122</v>
      </c>
      <c r="W869" t="s">
        <v>1690</v>
      </c>
      <c r="Y869">
        <v>3344</v>
      </c>
      <c r="Z869" t="s">
        <v>192</v>
      </c>
      <c r="AB869" t="str">
        <f t="shared" si="87"/>
        <v>02616630022</v>
      </c>
      <c r="AC869" t="s">
        <v>116</v>
      </c>
      <c r="AD869" t="s">
        <v>193</v>
      </c>
      <c r="AF869">
        <v>2023</v>
      </c>
      <c r="AG869">
        <v>502</v>
      </c>
      <c r="AH869" t="str">
        <f t="shared" si="85"/>
        <v>1</v>
      </c>
      <c r="AI869" t="str">
        <f>"5230043542"</f>
        <v>5230043542</v>
      </c>
      <c r="AJ869" s="1">
        <v>44977</v>
      </c>
      <c r="AL869">
        <v>4.7300000000000004</v>
      </c>
      <c r="AM869" t="str">
        <f>"9080200205"</f>
        <v>9080200205</v>
      </c>
      <c r="AN869">
        <v>2023</v>
      </c>
      <c r="AO869">
        <v>363</v>
      </c>
      <c r="AP869">
        <v>4.7300000000000004</v>
      </c>
      <c r="AQ869">
        <v>0</v>
      </c>
      <c r="AR869">
        <v>251.37</v>
      </c>
      <c r="AS869" t="s">
        <v>194</v>
      </c>
      <c r="AT869">
        <v>4.3</v>
      </c>
      <c r="AU869">
        <v>0.43</v>
      </c>
      <c r="AV869">
        <v>2023</v>
      </c>
      <c r="AW869">
        <v>241</v>
      </c>
      <c r="AX869">
        <v>670</v>
      </c>
      <c r="AY869">
        <v>0</v>
      </c>
      <c r="AZ869" t="s">
        <v>1691</v>
      </c>
      <c r="BA869">
        <v>4.7300000000000004</v>
      </c>
      <c r="BB869" s="1">
        <v>45008</v>
      </c>
    </row>
    <row r="870" spans="1:54" x14ac:dyDescent="0.25">
      <c r="A870">
        <v>2023</v>
      </c>
      <c r="B870">
        <v>462</v>
      </c>
      <c r="C870" s="1">
        <v>45008</v>
      </c>
      <c r="D870">
        <v>2023</v>
      </c>
      <c r="E870">
        <v>2023</v>
      </c>
      <c r="F870">
        <v>15</v>
      </c>
      <c r="H870" t="s">
        <v>1689</v>
      </c>
      <c r="I870">
        <v>130</v>
      </c>
      <c r="J870">
        <v>0</v>
      </c>
      <c r="K870" t="s">
        <v>128</v>
      </c>
      <c r="R870" t="s">
        <v>190</v>
      </c>
      <c r="S870" t="str">
        <f t="shared" si="86"/>
        <v>31</v>
      </c>
      <c r="T870" t="s">
        <v>122</v>
      </c>
      <c r="W870" t="s">
        <v>1690</v>
      </c>
      <c r="Y870">
        <v>3344</v>
      </c>
      <c r="Z870" t="s">
        <v>192</v>
      </c>
      <c r="AB870" t="str">
        <f t="shared" si="87"/>
        <v>02616630022</v>
      </c>
      <c r="AC870" t="s">
        <v>116</v>
      </c>
      <c r="AD870" t="s">
        <v>193</v>
      </c>
      <c r="AF870">
        <v>2023</v>
      </c>
      <c r="AG870">
        <v>507</v>
      </c>
      <c r="AH870" t="str">
        <f t="shared" si="85"/>
        <v>1</v>
      </c>
      <c r="AI870" t="str">
        <f>"5230043574"</f>
        <v>5230043574</v>
      </c>
      <c r="AJ870" s="1">
        <v>44977</v>
      </c>
      <c r="AL870">
        <v>451.79</v>
      </c>
      <c r="AM870" t="str">
        <f>"9080195972"</f>
        <v>9080195972</v>
      </c>
      <c r="AN870">
        <v>2023</v>
      </c>
      <c r="AO870">
        <v>363</v>
      </c>
      <c r="AP870">
        <v>451.79</v>
      </c>
      <c r="AQ870">
        <v>0</v>
      </c>
      <c r="AR870">
        <v>251.37</v>
      </c>
      <c r="AS870" t="s">
        <v>194</v>
      </c>
      <c r="AT870">
        <v>410.72</v>
      </c>
      <c r="AU870">
        <v>41.07</v>
      </c>
      <c r="AV870">
        <v>2023</v>
      </c>
      <c r="AW870">
        <v>241</v>
      </c>
      <c r="AX870">
        <v>670</v>
      </c>
      <c r="AY870">
        <v>0</v>
      </c>
      <c r="AZ870" t="s">
        <v>1691</v>
      </c>
      <c r="BA870">
        <v>451.79</v>
      </c>
      <c r="BB870" s="1">
        <v>45008</v>
      </c>
    </row>
    <row r="871" spans="1:54" x14ac:dyDescent="0.25">
      <c r="A871">
        <v>2023</v>
      </c>
      <c r="B871">
        <v>462</v>
      </c>
      <c r="C871" s="1">
        <v>45008</v>
      </c>
      <c r="D871">
        <v>2023</v>
      </c>
      <c r="E871">
        <v>2023</v>
      </c>
      <c r="F871">
        <v>15</v>
      </c>
      <c r="H871" t="s">
        <v>1689</v>
      </c>
      <c r="I871">
        <v>130</v>
      </c>
      <c r="J871">
        <v>0</v>
      </c>
      <c r="K871" t="s">
        <v>128</v>
      </c>
      <c r="R871" t="s">
        <v>190</v>
      </c>
      <c r="S871" t="str">
        <f t="shared" si="86"/>
        <v>31</v>
      </c>
      <c r="T871" t="s">
        <v>122</v>
      </c>
      <c r="W871" t="s">
        <v>1690</v>
      </c>
      <c r="Y871">
        <v>3344</v>
      </c>
      <c r="Z871" t="s">
        <v>192</v>
      </c>
      <c r="AB871" t="str">
        <f t="shared" si="87"/>
        <v>02616630022</v>
      </c>
      <c r="AC871" t="s">
        <v>116</v>
      </c>
      <c r="AD871" t="s">
        <v>193</v>
      </c>
      <c r="AF871">
        <v>2023</v>
      </c>
      <c r="AG871">
        <v>511</v>
      </c>
      <c r="AH871" t="str">
        <f t="shared" si="85"/>
        <v>1</v>
      </c>
      <c r="AI871" t="str">
        <f>"5230043544"</f>
        <v>5230043544</v>
      </c>
      <c r="AJ871" s="1">
        <v>44977</v>
      </c>
      <c r="AL871">
        <v>4.26</v>
      </c>
      <c r="AM871" t="str">
        <f>"9080205177"</f>
        <v>9080205177</v>
      </c>
      <c r="AN871">
        <v>2023</v>
      </c>
      <c r="AO871">
        <v>363</v>
      </c>
      <c r="AP871">
        <v>4.26</v>
      </c>
      <c r="AQ871">
        <v>0</v>
      </c>
      <c r="AR871">
        <v>251.37</v>
      </c>
      <c r="AS871" t="s">
        <v>194</v>
      </c>
      <c r="AT871">
        <v>3.87</v>
      </c>
      <c r="AU871">
        <v>0.39</v>
      </c>
      <c r="AV871">
        <v>2023</v>
      </c>
      <c r="AW871">
        <v>241</v>
      </c>
      <c r="AX871">
        <v>670</v>
      </c>
      <c r="AY871">
        <v>0</v>
      </c>
      <c r="AZ871" t="s">
        <v>1691</v>
      </c>
      <c r="BA871">
        <v>4.26</v>
      </c>
      <c r="BB871" s="1">
        <v>45008</v>
      </c>
    </row>
    <row r="872" spans="1:54" x14ac:dyDescent="0.25">
      <c r="A872">
        <v>2023</v>
      </c>
      <c r="B872">
        <v>462</v>
      </c>
      <c r="C872" s="1">
        <v>45008</v>
      </c>
      <c r="D872">
        <v>2023</v>
      </c>
      <c r="E872">
        <v>2023</v>
      </c>
      <c r="F872">
        <v>15</v>
      </c>
      <c r="H872" t="s">
        <v>1689</v>
      </c>
      <c r="I872">
        <v>130</v>
      </c>
      <c r="J872">
        <v>0</v>
      </c>
      <c r="K872" t="s">
        <v>128</v>
      </c>
      <c r="R872" t="s">
        <v>190</v>
      </c>
      <c r="S872" t="str">
        <f t="shared" si="86"/>
        <v>31</v>
      </c>
      <c r="T872" t="s">
        <v>122</v>
      </c>
      <c r="W872" t="s">
        <v>1690</v>
      </c>
      <c r="Y872">
        <v>3344</v>
      </c>
      <c r="Z872" t="s">
        <v>192</v>
      </c>
      <c r="AB872" t="str">
        <f t="shared" si="87"/>
        <v>02616630022</v>
      </c>
      <c r="AC872" t="s">
        <v>116</v>
      </c>
      <c r="AD872" t="s">
        <v>193</v>
      </c>
      <c r="AF872">
        <v>2023</v>
      </c>
      <c r="AG872">
        <v>516</v>
      </c>
      <c r="AH872" t="str">
        <f t="shared" si="85"/>
        <v>1</v>
      </c>
      <c r="AI872" t="str">
        <f>"5230043585"</f>
        <v>5230043585</v>
      </c>
      <c r="AJ872" s="1">
        <v>44977</v>
      </c>
      <c r="AL872">
        <v>4.25</v>
      </c>
      <c r="AM872" t="str">
        <f>"9080205635"</f>
        <v>9080205635</v>
      </c>
      <c r="AN872">
        <v>2023</v>
      </c>
      <c r="AO872">
        <v>363</v>
      </c>
      <c r="AP872">
        <v>4.25</v>
      </c>
      <c r="AQ872">
        <v>0</v>
      </c>
      <c r="AR872">
        <v>251.37</v>
      </c>
      <c r="AS872" t="s">
        <v>194</v>
      </c>
      <c r="AT872">
        <v>3.86</v>
      </c>
      <c r="AU872">
        <v>0.39</v>
      </c>
      <c r="AV872">
        <v>2023</v>
      </c>
      <c r="AW872">
        <v>241</v>
      </c>
      <c r="AX872">
        <v>670</v>
      </c>
      <c r="AY872">
        <v>0</v>
      </c>
      <c r="AZ872" t="s">
        <v>1691</v>
      </c>
      <c r="BA872">
        <v>4.25</v>
      </c>
      <c r="BB872" s="1">
        <v>45008</v>
      </c>
    </row>
    <row r="873" spans="1:54" x14ac:dyDescent="0.25">
      <c r="A873">
        <v>2023</v>
      </c>
      <c r="B873">
        <v>462</v>
      </c>
      <c r="C873" s="1">
        <v>45008</v>
      </c>
      <c r="D873">
        <v>2023</v>
      </c>
      <c r="E873">
        <v>2023</v>
      </c>
      <c r="F873">
        <v>15</v>
      </c>
      <c r="H873" t="s">
        <v>1689</v>
      </c>
      <c r="I873">
        <v>130</v>
      </c>
      <c r="J873">
        <v>0</v>
      </c>
      <c r="K873" t="s">
        <v>128</v>
      </c>
      <c r="R873" t="s">
        <v>190</v>
      </c>
      <c r="S873" t="str">
        <f t="shared" si="86"/>
        <v>31</v>
      </c>
      <c r="T873" t="s">
        <v>122</v>
      </c>
      <c r="W873" t="s">
        <v>1690</v>
      </c>
      <c r="Y873">
        <v>3344</v>
      </c>
      <c r="Z873" t="s">
        <v>192</v>
      </c>
      <c r="AB873" t="str">
        <f t="shared" si="87"/>
        <v>02616630022</v>
      </c>
      <c r="AC873" t="s">
        <v>116</v>
      </c>
      <c r="AD873" t="s">
        <v>193</v>
      </c>
      <c r="AF873">
        <v>2023</v>
      </c>
      <c r="AG873">
        <v>518</v>
      </c>
      <c r="AH873" t="str">
        <f t="shared" si="85"/>
        <v>1</v>
      </c>
      <c r="AI873" t="str">
        <f>"5230043529"</f>
        <v>5230043529</v>
      </c>
      <c r="AJ873" s="1">
        <v>44977</v>
      </c>
      <c r="AL873">
        <v>4.26</v>
      </c>
      <c r="AM873" t="str">
        <f>"9080206377"</f>
        <v>9080206377</v>
      </c>
      <c r="AN873">
        <v>2023</v>
      </c>
      <c r="AO873">
        <v>363</v>
      </c>
      <c r="AP873">
        <v>4.26</v>
      </c>
      <c r="AQ873">
        <v>0</v>
      </c>
      <c r="AR873">
        <v>251.37</v>
      </c>
      <c r="AS873" t="s">
        <v>194</v>
      </c>
      <c r="AT873">
        <v>3.87</v>
      </c>
      <c r="AU873">
        <v>0.39</v>
      </c>
      <c r="AV873">
        <v>2023</v>
      </c>
      <c r="AW873">
        <v>241</v>
      </c>
      <c r="AX873">
        <v>670</v>
      </c>
      <c r="AY873">
        <v>0</v>
      </c>
      <c r="AZ873" t="s">
        <v>1691</v>
      </c>
      <c r="BA873">
        <v>4.26</v>
      </c>
      <c r="BB873" s="1">
        <v>45008</v>
      </c>
    </row>
    <row r="874" spans="1:54" x14ac:dyDescent="0.25">
      <c r="A874">
        <v>2023</v>
      </c>
      <c r="B874">
        <v>462</v>
      </c>
      <c r="C874" s="1">
        <v>45008</v>
      </c>
      <c r="D874">
        <v>2023</v>
      </c>
      <c r="E874">
        <v>2023</v>
      </c>
      <c r="F874">
        <v>15</v>
      </c>
      <c r="H874" t="s">
        <v>1689</v>
      </c>
      <c r="I874">
        <v>130</v>
      </c>
      <c r="J874">
        <v>0</v>
      </c>
      <c r="K874" t="s">
        <v>128</v>
      </c>
      <c r="R874" t="s">
        <v>190</v>
      </c>
      <c r="S874" t="str">
        <f t="shared" si="86"/>
        <v>31</v>
      </c>
      <c r="T874" t="s">
        <v>122</v>
      </c>
      <c r="W874" t="s">
        <v>1690</v>
      </c>
      <c r="Y874">
        <v>3344</v>
      </c>
      <c r="Z874" t="s">
        <v>192</v>
      </c>
      <c r="AB874" t="str">
        <f t="shared" si="87"/>
        <v>02616630022</v>
      </c>
      <c r="AC874" t="s">
        <v>116</v>
      </c>
      <c r="AD874" t="s">
        <v>193</v>
      </c>
      <c r="AF874">
        <v>2023</v>
      </c>
      <c r="AG874">
        <v>519</v>
      </c>
      <c r="AH874" t="str">
        <f t="shared" si="85"/>
        <v>1</v>
      </c>
      <c r="AI874" t="str">
        <f>"5230043596"</f>
        <v>5230043596</v>
      </c>
      <c r="AJ874" s="1">
        <v>44977</v>
      </c>
      <c r="AL874" s="2">
        <v>1159.8399999999999</v>
      </c>
      <c r="AM874" t="str">
        <f>"9080206534"</f>
        <v>9080206534</v>
      </c>
      <c r="AN874">
        <v>2023</v>
      </c>
      <c r="AO874">
        <v>363</v>
      </c>
      <c r="AP874" s="2">
        <v>1159.8399999999999</v>
      </c>
      <c r="AQ874">
        <v>0</v>
      </c>
      <c r="AR874">
        <v>251.37</v>
      </c>
      <c r="AS874" t="s">
        <v>194</v>
      </c>
      <c r="AT874">
        <v>1054.4000000000001</v>
      </c>
      <c r="AU874">
        <v>105.44</v>
      </c>
      <c r="AV874">
        <v>2023</v>
      </c>
      <c r="AW874">
        <v>241</v>
      </c>
      <c r="AX874">
        <v>670</v>
      </c>
      <c r="AY874">
        <v>0</v>
      </c>
      <c r="AZ874" t="s">
        <v>1691</v>
      </c>
      <c r="BA874">
        <v>1159.8399999999999</v>
      </c>
      <c r="BB874" s="1">
        <v>45008</v>
      </c>
    </row>
    <row r="875" spans="1:54" x14ac:dyDescent="0.25">
      <c r="A875">
        <v>2023</v>
      </c>
      <c r="B875">
        <v>462</v>
      </c>
      <c r="C875" s="1">
        <v>45008</v>
      </c>
      <c r="D875">
        <v>2023</v>
      </c>
      <c r="E875">
        <v>2023</v>
      </c>
      <c r="F875">
        <v>15</v>
      </c>
      <c r="H875" t="s">
        <v>1689</v>
      </c>
      <c r="I875">
        <v>130</v>
      </c>
      <c r="J875">
        <v>0</v>
      </c>
      <c r="K875" t="s">
        <v>128</v>
      </c>
      <c r="R875" t="s">
        <v>190</v>
      </c>
      <c r="S875" t="str">
        <f t="shared" si="86"/>
        <v>31</v>
      </c>
      <c r="T875" t="s">
        <v>122</v>
      </c>
      <c r="W875" t="s">
        <v>1690</v>
      </c>
      <c r="Y875">
        <v>3344</v>
      </c>
      <c r="Z875" t="s">
        <v>192</v>
      </c>
      <c r="AB875" t="str">
        <f t="shared" si="87"/>
        <v>02616630022</v>
      </c>
      <c r="AC875" t="s">
        <v>116</v>
      </c>
      <c r="AD875" t="s">
        <v>193</v>
      </c>
      <c r="AF875">
        <v>2023</v>
      </c>
      <c r="AG875">
        <v>520</v>
      </c>
      <c r="AH875" t="str">
        <f t="shared" ref="AH875:AH906" si="88">"1"</f>
        <v>1</v>
      </c>
      <c r="AI875" t="str">
        <f>"5230043583"</f>
        <v>5230043583</v>
      </c>
      <c r="AJ875" s="1">
        <v>44977</v>
      </c>
      <c r="AL875">
        <v>30.11</v>
      </c>
      <c r="AM875" t="str">
        <f>"9080204957"</f>
        <v>9080204957</v>
      </c>
      <c r="AN875">
        <v>2023</v>
      </c>
      <c r="AO875">
        <v>363</v>
      </c>
      <c r="AP875">
        <v>30.11</v>
      </c>
      <c r="AQ875">
        <v>0</v>
      </c>
      <c r="AR875">
        <v>251.37</v>
      </c>
      <c r="AS875" t="s">
        <v>194</v>
      </c>
      <c r="AT875">
        <v>27.37</v>
      </c>
      <c r="AU875">
        <v>2.74</v>
      </c>
      <c r="AV875">
        <v>2023</v>
      </c>
      <c r="AW875">
        <v>241</v>
      </c>
      <c r="AX875">
        <v>670</v>
      </c>
      <c r="AY875">
        <v>0</v>
      </c>
      <c r="AZ875" t="s">
        <v>1691</v>
      </c>
      <c r="BA875">
        <v>30.11</v>
      </c>
      <c r="BB875" s="1">
        <v>45008</v>
      </c>
    </row>
    <row r="876" spans="1:54" x14ac:dyDescent="0.25">
      <c r="A876">
        <v>2023</v>
      </c>
      <c r="B876">
        <v>462</v>
      </c>
      <c r="C876" s="1">
        <v>45008</v>
      </c>
      <c r="D876">
        <v>2023</v>
      </c>
      <c r="E876">
        <v>2023</v>
      </c>
      <c r="F876">
        <v>15</v>
      </c>
      <c r="H876" t="s">
        <v>1689</v>
      </c>
      <c r="I876">
        <v>130</v>
      </c>
      <c r="J876">
        <v>0</v>
      </c>
      <c r="K876" t="s">
        <v>128</v>
      </c>
      <c r="R876" t="s">
        <v>190</v>
      </c>
      <c r="S876" t="str">
        <f t="shared" ref="S876:S907" si="89">"31"</f>
        <v>31</v>
      </c>
      <c r="T876" t="s">
        <v>122</v>
      </c>
      <c r="W876" t="s">
        <v>1690</v>
      </c>
      <c r="Y876">
        <v>3344</v>
      </c>
      <c r="Z876" t="s">
        <v>192</v>
      </c>
      <c r="AB876" t="str">
        <f t="shared" ref="AB876:AB907" si="90">"02616630022"</f>
        <v>02616630022</v>
      </c>
      <c r="AC876" t="s">
        <v>116</v>
      </c>
      <c r="AD876" t="s">
        <v>193</v>
      </c>
      <c r="AF876">
        <v>2023</v>
      </c>
      <c r="AG876">
        <v>521</v>
      </c>
      <c r="AH876" t="str">
        <f t="shared" si="88"/>
        <v>1</v>
      </c>
      <c r="AI876" t="str">
        <f>"5230043545"</f>
        <v>5230043545</v>
      </c>
      <c r="AJ876" s="1">
        <v>44977</v>
      </c>
      <c r="AL876">
        <v>4.26</v>
      </c>
      <c r="AM876" t="str">
        <f>"9080227782"</f>
        <v>9080227782</v>
      </c>
      <c r="AN876">
        <v>2023</v>
      </c>
      <c r="AO876">
        <v>363</v>
      </c>
      <c r="AP876">
        <v>4.26</v>
      </c>
      <c r="AQ876">
        <v>0</v>
      </c>
      <c r="AR876">
        <v>251.37</v>
      </c>
      <c r="AS876" t="s">
        <v>194</v>
      </c>
      <c r="AT876">
        <v>3.87</v>
      </c>
      <c r="AU876">
        <v>0.39</v>
      </c>
      <c r="AV876">
        <v>2023</v>
      </c>
      <c r="AW876">
        <v>241</v>
      </c>
      <c r="AX876">
        <v>670</v>
      </c>
      <c r="AY876">
        <v>0</v>
      </c>
      <c r="AZ876" t="s">
        <v>1691</v>
      </c>
      <c r="BA876">
        <v>4.26</v>
      </c>
      <c r="BB876" s="1">
        <v>45008</v>
      </c>
    </row>
    <row r="877" spans="1:54" x14ac:dyDescent="0.25">
      <c r="A877">
        <v>2023</v>
      </c>
      <c r="B877">
        <v>462</v>
      </c>
      <c r="C877" s="1">
        <v>45008</v>
      </c>
      <c r="D877">
        <v>2023</v>
      </c>
      <c r="E877">
        <v>2023</v>
      </c>
      <c r="F877">
        <v>15</v>
      </c>
      <c r="H877" t="s">
        <v>1689</v>
      </c>
      <c r="I877">
        <v>130</v>
      </c>
      <c r="J877">
        <v>0</v>
      </c>
      <c r="K877" t="s">
        <v>128</v>
      </c>
      <c r="R877" t="s">
        <v>190</v>
      </c>
      <c r="S877" t="str">
        <f t="shared" si="89"/>
        <v>31</v>
      </c>
      <c r="T877" t="s">
        <v>122</v>
      </c>
      <c r="W877" t="s">
        <v>1690</v>
      </c>
      <c r="Y877">
        <v>3344</v>
      </c>
      <c r="Z877" t="s">
        <v>192</v>
      </c>
      <c r="AB877" t="str">
        <f t="shared" si="90"/>
        <v>02616630022</v>
      </c>
      <c r="AC877" t="s">
        <v>116</v>
      </c>
      <c r="AD877" t="s">
        <v>193</v>
      </c>
      <c r="AF877">
        <v>2023</v>
      </c>
      <c r="AG877">
        <v>524</v>
      </c>
      <c r="AH877" t="str">
        <f t="shared" si="88"/>
        <v>1</v>
      </c>
      <c r="AI877" t="str">
        <f>"5230043566"</f>
        <v>5230043566</v>
      </c>
      <c r="AJ877" s="1">
        <v>44977</v>
      </c>
      <c r="AL877">
        <v>4.7300000000000004</v>
      </c>
      <c r="AM877" t="str">
        <f>"9080228724"</f>
        <v>9080228724</v>
      </c>
      <c r="AN877">
        <v>2023</v>
      </c>
      <c r="AO877">
        <v>363</v>
      </c>
      <c r="AP877">
        <v>4.7300000000000004</v>
      </c>
      <c r="AQ877">
        <v>0</v>
      </c>
      <c r="AR877">
        <v>251.37</v>
      </c>
      <c r="AS877" t="s">
        <v>194</v>
      </c>
      <c r="AT877">
        <v>4.3</v>
      </c>
      <c r="AU877">
        <v>0.43</v>
      </c>
      <c r="AV877">
        <v>2023</v>
      </c>
      <c r="AW877">
        <v>241</v>
      </c>
      <c r="AX877">
        <v>670</v>
      </c>
      <c r="AY877">
        <v>0</v>
      </c>
      <c r="AZ877" t="s">
        <v>1691</v>
      </c>
      <c r="BA877">
        <v>4.7300000000000004</v>
      </c>
      <c r="BB877" s="1">
        <v>45008</v>
      </c>
    </row>
    <row r="878" spans="1:54" x14ac:dyDescent="0.25">
      <c r="A878">
        <v>2023</v>
      </c>
      <c r="B878">
        <v>462</v>
      </c>
      <c r="C878" s="1">
        <v>45008</v>
      </c>
      <c r="D878">
        <v>2023</v>
      </c>
      <c r="E878">
        <v>2023</v>
      </c>
      <c r="F878">
        <v>15</v>
      </c>
      <c r="H878" t="s">
        <v>1689</v>
      </c>
      <c r="I878">
        <v>130</v>
      </c>
      <c r="J878">
        <v>0</v>
      </c>
      <c r="K878" t="s">
        <v>128</v>
      </c>
      <c r="R878" t="s">
        <v>190</v>
      </c>
      <c r="S878" t="str">
        <f t="shared" si="89"/>
        <v>31</v>
      </c>
      <c r="T878" t="s">
        <v>122</v>
      </c>
      <c r="W878" t="s">
        <v>1690</v>
      </c>
      <c r="Y878">
        <v>3344</v>
      </c>
      <c r="Z878" t="s">
        <v>192</v>
      </c>
      <c r="AB878" t="str">
        <f t="shared" si="90"/>
        <v>02616630022</v>
      </c>
      <c r="AC878" t="s">
        <v>116</v>
      </c>
      <c r="AD878" t="s">
        <v>193</v>
      </c>
      <c r="AF878">
        <v>2023</v>
      </c>
      <c r="AG878">
        <v>526</v>
      </c>
      <c r="AH878" t="str">
        <f t="shared" si="88"/>
        <v>1</v>
      </c>
      <c r="AI878" t="str">
        <f>"5230043592"</f>
        <v>5230043592</v>
      </c>
      <c r="AJ878" s="1">
        <v>44977</v>
      </c>
      <c r="AL878">
        <v>9.69</v>
      </c>
      <c r="AM878" t="str">
        <f>"9080217238"</f>
        <v>9080217238</v>
      </c>
      <c r="AN878">
        <v>2023</v>
      </c>
      <c r="AO878">
        <v>363</v>
      </c>
      <c r="AP878">
        <v>9.69</v>
      </c>
      <c r="AQ878">
        <v>0</v>
      </c>
      <c r="AR878">
        <v>251.37</v>
      </c>
      <c r="AS878" t="s">
        <v>194</v>
      </c>
      <c r="AT878">
        <v>8.81</v>
      </c>
      <c r="AU878">
        <v>0.88</v>
      </c>
      <c r="AV878">
        <v>2023</v>
      </c>
      <c r="AW878">
        <v>241</v>
      </c>
      <c r="AX878">
        <v>670</v>
      </c>
      <c r="AY878">
        <v>0</v>
      </c>
      <c r="AZ878" t="s">
        <v>1691</v>
      </c>
      <c r="BA878">
        <v>9.69</v>
      </c>
      <c r="BB878" s="1">
        <v>45008</v>
      </c>
    </row>
    <row r="879" spans="1:54" x14ac:dyDescent="0.25">
      <c r="A879">
        <v>2023</v>
      </c>
      <c r="B879">
        <v>462</v>
      </c>
      <c r="C879" s="1">
        <v>45008</v>
      </c>
      <c r="D879">
        <v>2023</v>
      </c>
      <c r="E879">
        <v>2023</v>
      </c>
      <c r="F879">
        <v>15</v>
      </c>
      <c r="H879" t="s">
        <v>1689</v>
      </c>
      <c r="I879">
        <v>130</v>
      </c>
      <c r="J879">
        <v>0</v>
      </c>
      <c r="K879" t="s">
        <v>128</v>
      </c>
      <c r="R879" t="s">
        <v>190</v>
      </c>
      <c r="S879" t="str">
        <f t="shared" si="89"/>
        <v>31</v>
      </c>
      <c r="T879" t="s">
        <v>122</v>
      </c>
      <c r="W879" t="s">
        <v>1690</v>
      </c>
      <c r="Y879">
        <v>3344</v>
      </c>
      <c r="Z879" t="s">
        <v>192</v>
      </c>
      <c r="AB879" t="str">
        <f t="shared" si="90"/>
        <v>02616630022</v>
      </c>
      <c r="AC879" t="s">
        <v>116</v>
      </c>
      <c r="AD879" t="s">
        <v>193</v>
      </c>
      <c r="AF879">
        <v>2023</v>
      </c>
      <c r="AG879">
        <v>529</v>
      </c>
      <c r="AH879" t="str">
        <f t="shared" si="88"/>
        <v>1</v>
      </c>
      <c r="AI879" t="str">
        <f>"5230043530"</f>
        <v>5230043530</v>
      </c>
      <c r="AJ879" s="1">
        <v>44977</v>
      </c>
      <c r="AL879">
        <v>4.26</v>
      </c>
      <c r="AM879" t="str">
        <f>"9080228421"</f>
        <v>9080228421</v>
      </c>
      <c r="AN879">
        <v>2023</v>
      </c>
      <c r="AO879">
        <v>363</v>
      </c>
      <c r="AP879">
        <v>4.26</v>
      </c>
      <c r="AQ879">
        <v>0</v>
      </c>
      <c r="AR879">
        <v>251.37</v>
      </c>
      <c r="AS879" t="s">
        <v>194</v>
      </c>
      <c r="AT879">
        <v>3.87</v>
      </c>
      <c r="AU879">
        <v>0.39</v>
      </c>
      <c r="AV879">
        <v>2023</v>
      </c>
      <c r="AW879">
        <v>241</v>
      </c>
      <c r="AX879">
        <v>670</v>
      </c>
      <c r="AY879">
        <v>0</v>
      </c>
      <c r="AZ879" t="s">
        <v>1691</v>
      </c>
      <c r="BA879">
        <v>4.26</v>
      </c>
      <c r="BB879" s="1">
        <v>45008</v>
      </c>
    </row>
    <row r="880" spans="1:54" x14ac:dyDescent="0.25">
      <c r="A880">
        <v>2023</v>
      </c>
      <c r="B880">
        <v>462</v>
      </c>
      <c r="C880" s="1">
        <v>45008</v>
      </c>
      <c r="D880">
        <v>2023</v>
      </c>
      <c r="E880">
        <v>2023</v>
      </c>
      <c r="F880">
        <v>15</v>
      </c>
      <c r="H880" t="s">
        <v>1689</v>
      </c>
      <c r="I880">
        <v>130</v>
      </c>
      <c r="J880">
        <v>0</v>
      </c>
      <c r="K880" t="s">
        <v>128</v>
      </c>
      <c r="R880" t="s">
        <v>190</v>
      </c>
      <c r="S880" t="str">
        <f t="shared" si="89"/>
        <v>31</v>
      </c>
      <c r="T880" t="s">
        <v>122</v>
      </c>
      <c r="W880" t="s">
        <v>1690</v>
      </c>
      <c r="Y880">
        <v>3344</v>
      </c>
      <c r="Z880" t="s">
        <v>192</v>
      </c>
      <c r="AB880" t="str">
        <f t="shared" si="90"/>
        <v>02616630022</v>
      </c>
      <c r="AC880" t="s">
        <v>116</v>
      </c>
      <c r="AD880" t="s">
        <v>193</v>
      </c>
      <c r="AF880">
        <v>2023</v>
      </c>
      <c r="AG880">
        <v>533</v>
      </c>
      <c r="AH880" t="str">
        <f t="shared" si="88"/>
        <v>1</v>
      </c>
      <c r="AI880" t="str">
        <f>"5230043567"</f>
        <v>5230043567</v>
      </c>
      <c r="AJ880" s="1">
        <v>44977</v>
      </c>
      <c r="AL880">
        <v>4.25</v>
      </c>
      <c r="AM880" t="str">
        <f>"9080228272"</f>
        <v>9080228272</v>
      </c>
      <c r="AN880">
        <v>2023</v>
      </c>
      <c r="AO880">
        <v>363</v>
      </c>
      <c r="AP880">
        <v>4.25</v>
      </c>
      <c r="AQ880">
        <v>0</v>
      </c>
      <c r="AR880">
        <v>251.37</v>
      </c>
      <c r="AS880" t="s">
        <v>194</v>
      </c>
      <c r="AT880">
        <v>3.86</v>
      </c>
      <c r="AU880">
        <v>0.39</v>
      </c>
      <c r="AV880">
        <v>2023</v>
      </c>
      <c r="AW880">
        <v>241</v>
      </c>
      <c r="AX880">
        <v>670</v>
      </c>
      <c r="AY880">
        <v>0</v>
      </c>
      <c r="AZ880" t="s">
        <v>1691</v>
      </c>
      <c r="BA880">
        <v>4.25</v>
      </c>
      <c r="BB880" s="1">
        <v>45008</v>
      </c>
    </row>
    <row r="881" spans="1:54" x14ac:dyDescent="0.25">
      <c r="A881">
        <v>2023</v>
      </c>
      <c r="B881">
        <v>462</v>
      </c>
      <c r="C881" s="1">
        <v>45008</v>
      </c>
      <c r="D881">
        <v>2023</v>
      </c>
      <c r="E881">
        <v>2023</v>
      </c>
      <c r="F881">
        <v>15</v>
      </c>
      <c r="H881" t="s">
        <v>1689</v>
      </c>
      <c r="I881">
        <v>130</v>
      </c>
      <c r="J881">
        <v>0</v>
      </c>
      <c r="K881" t="s">
        <v>128</v>
      </c>
      <c r="R881" t="s">
        <v>190</v>
      </c>
      <c r="S881" t="str">
        <f t="shared" si="89"/>
        <v>31</v>
      </c>
      <c r="T881" t="s">
        <v>122</v>
      </c>
      <c r="W881" t="s">
        <v>1690</v>
      </c>
      <c r="Y881">
        <v>3344</v>
      </c>
      <c r="Z881" t="s">
        <v>192</v>
      </c>
      <c r="AB881" t="str">
        <f t="shared" si="90"/>
        <v>02616630022</v>
      </c>
      <c r="AC881" t="s">
        <v>116</v>
      </c>
      <c r="AD881" t="s">
        <v>193</v>
      </c>
      <c r="AF881">
        <v>2023</v>
      </c>
      <c r="AG881">
        <v>535</v>
      </c>
      <c r="AH881" t="str">
        <f t="shared" si="88"/>
        <v>1</v>
      </c>
      <c r="AI881" t="str">
        <f>"5230043527"</f>
        <v>5230043527</v>
      </c>
      <c r="AJ881" s="1">
        <v>44977</v>
      </c>
      <c r="AL881">
        <v>4.26</v>
      </c>
      <c r="AM881" t="str">
        <f>"9080204885"</f>
        <v>9080204885</v>
      </c>
      <c r="AN881">
        <v>2023</v>
      </c>
      <c r="AO881">
        <v>363</v>
      </c>
      <c r="AP881">
        <v>4.26</v>
      </c>
      <c r="AQ881">
        <v>0</v>
      </c>
      <c r="AR881">
        <v>251.37</v>
      </c>
      <c r="AS881" t="s">
        <v>194</v>
      </c>
      <c r="AT881">
        <v>3.87</v>
      </c>
      <c r="AU881">
        <v>0.39</v>
      </c>
      <c r="AV881">
        <v>2023</v>
      </c>
      <c r="AW881">
        <v>241</v>
      </c>
      <c r="AX881">
        <v>670</v>
      </c>
      <c r="AY881">
        <v>0</v>
      </c>
      <c r="AZ881" t="s">
        <v>1691</v>
      </c>
      <c r="BA881">
        <v>4.26</v>
      </c>
      <c r="BB881" s="1">
        <v>45008</v>
      </c>
    </row>
    <row r="882" spans="1:54" x14ac:dyDescent="0.25">
      <c r="A882">
        <v>2023</v>
      </c>
      <c r="B882">
        <v>462</v>
      </c>
      <c r="C882" s="1">
        <v>45008</v>
      </c>
      <c r="D882">
        <v>2023</v>
      </c>
      <c r="E882">
        <v>2023</v>
      </c>
      <c r="F882">
        <v>15</v>
      </c>
      <c r="H882" t="s">
        <v>1689</v>
      </c>
      <c r="I882">
        <v>130</v>
      </c>
      <c r="J882">
        <v>0</v>
      </c>
      <c r="K882" t="s">
        <v>128</v>
      </c>
      <c r="R882" t="s">
        <v>190</v>
      </c>
      <c r="S882" t="str">
        <f t="shared" si="89"/>
        <v>31</v>
      </c>
      <c r="T882" t="s">
        <v>122</v>
      </c>
      <c r="W882" t="s">
        <v>1690</v>
      </c>
      <c r="Y882">
        <v>3344</v>
      </c>
      <c r="Z882" t="s">
        <v>192</v>
      </c>
      <c r="AB882" t="str">
        <f t="shared" si="90"/>
        <v>02616630022</v>
      </c>
      <c r="AC882" t="s">
        <v>116</v>
      </c>
      <c r="AD882" t="s">
        <v>193</v>
      </c>
      <c r="AF882">
        <v>2023</v>
      </c>
      <c r="AG882">
        <v>548</v>
      </c>
      <c r="AH882" t="str">
        <f t="shared" si="88"/>
        <v>1</v>
      </c>
      <c r="AI882" t="str">
        <f>"5230043565"</f>
        <v>5230043565</v>
      </c>
      <c r="AJ882" s="1">
        <v>44977</v>
      </c>
      <c r="AL882">
        <v>43.98</v>
      </c>
      <c r="AM882" t="str">
        <f>"9080217778"</f>
        <v>9080217778</v>
      </c>
      <c r="AN882">
        <v>2023</v>
      </c>
      <c r="AO882">
        <v>363</v>
      </c>
      <c r="AP882">
        <v>43.98</v>
      </c>
      <c r="AQ882">
        <v>0</v>
      </c>
      <c r="AR882">
        <v>251.37</v>
      </c>
      <c r="AS882" t="s">
        <v>194</v>
      </c>
      <c r="AT882">
        <v>39.979999999999997</v>
      </c>
      <c r="AU882">
        <v>4</v>
      </c>
      <c r="AV882">
        <v>2023</v>
      </c>
      <c r="AW882">
        <v>241</v>
      </c>
      <c r="AX882">
        <v>670</v>
      </c>
      <c r="AY882">
        <v>0</v>
      </c>
      <c r="AZ882" t="s">
        <v>1691</v>
      </c>
      <c r="BA882">
        <v>43.98</v>
      </c>
      <c r="BB882" s="1">
        <v>45008</v>
      </c>
    </row>
    <row r="883" spans="1:54" x14ac:dyDescent="0.25">
      <c r="A883">
        <v>2023</v>
      </c>
      <c r="B883">
        <v>462</v>
      </c>
      <c r="C883" s="1">
        <v>45008</v>
      </c>
      <c r="D883">
        <v>2023</v>
      </c>
      <c r="E883">
        <v>2023</v>
      </c>
      <c r="F883">
        <v>15</v>
      </c>
      <c r="H883" t="s">
        <v>1689</v>
      </c>
      <c r="I883">
        <v>130</v>
      </c>
      <c r="J883">
        <v>0</v>
      </c>
      <c r="K883" t="s">
        <v>128</v>
      </c>
      <c r="R883" t="s">
        <v>190</v>
      </c>
      <c r="S883" t="str">
        <f t="shared" si="89"/>
        <v>31</v>
      </c>
      <c r="T883" t="s">
        <v>122</v>
      </c>
      <c r="W883" t="s">
        <v>1690</v>
      </c>
      <c r="Y883">
        <v>3344</v>
      </c>
      <c r="Z883" t="s">
        <v>192</v>
      </c>
      <c r="AB883" t="str">
        <f t="shared" si="90"/>
        <v>02616630022</v>
      </c>
      <c r="AC883" t="s">
        <v>116</v>
      </c>
      <c r="AD883" t="s">
        <v>193</v>
      </c>
      <c r="AF883">
        <v>2023</v>
      </c>
      <c r="AG883">
        <v>553</v>
      </c>
      <c r="AH883" t="str">
        <f t="shared" si="88"/>
        <v>1</v>
      </c>
      <c r="AI883" t="str">
        <f>"5230043541"</f>
        <v>5230043541</v>
      </c>
      <c r="AJ883" s="1">
        <v>44977</v>
      </c>
      <c r="AL883">
        <v>4.25</v>
      </c>
      <c r="AM883" t="str">
        <f>"9080223494"</f>
        <v>9080223494</v>
      </c>
      <c r="AN883">
        <v>2023</v>
      </c>
      <c r="AO883">
        <v>363</v>
      </c>
      <c r="AP883">
        <v>4.25</v>
      </c>
      <c r="AQ883">
        <v>0</v>
      </c>
      <c r="AR883">
        <v>251.37</v>
      </c>
      <c r="AS883" t="s">
        <v>194</v>
      </c>
      <c r="AT883">
        <v>3.86</v>
      </c>
      <c r="AU883">
        <v>0.39</v>
      </c>
      <c r="AV883">
        <v>2023</v>
      </c>
      <c r="AW883">
        <v>241</v>
      </c>
      <c r="AX883">
        <v>670</v>
      </c>
      <c r="AY883">
        <v>0</v>
      </c>
      <c r="AZ883" t="s">
        <v>1691</v>
      </c>
      <c r="BA883">
        <v>4.25</v>
      </c>
      <c r="BB883" s="1">
        <v>45008</v>
      </c>
    </row>
    <row r="884" spans="1:54" x14ac:dyDescent="0.25">
      <c r="A884">
        <v>2023</v>
      </c>
      <c r="B884">
        <v>462</v>
      </c>
      <c r="C884" s="1">
        <v>45008</v>
      </c>
      <c r="D884">
        <v>2023</v>
      </c>
      <c r="E884">
        <v>2023</v>
      </c>
      <c r="F884">
        <v>15</v>
      </c>
      <c r="H884" t="s">
        <v>1689</v>
      </c>
      <c r="I884">
        <v>130</v>
      </c>
      <c r="J884">
        <v>0</v>
      </c>
      <c r="K884" t="s">
        <v>128</v>
      </c>
      <c r="R884" t="s">
        <v>190</v>
      </c>
      <c r="S884" t="str">
        <f t="shared" si="89"/>
        <v>31</v>
      </c>
      <c r="T884" t="s">
        <v>122</v>
      </c>
      <c r="W884" t="s">
        <v>1690</v>
      </c>
      <c r="Y884">
        <v>3344</v>
      </c>
      <c r="Z884" t="s">
        <v>192</v>
      </c>
      <c r="AB884" t="str">
        <f t="shared" si="90"/>
        <v>02616630022</v>
      </c>
      <c r="AC884" t="s">
        <v>116</v>
      </c>
      <c r="AD884" t="s">
        <v>193</v>
      </c>
      <c r="AF884">
        <v>2023</v>
      </c>
      <c r="AG884">
        <v>555</v>
      </c>
      <c r="AH884" t="str">
        <f t="shared" si="88"/>
        <v>1</v>
      </c>
      <c r="AI884" t="str">
        <f>"5230043581"</f>
        <v>5230043581</v>
      </c>
      <c r="AJ884" s="1">
        <v>44977</v>
      </c>
      <c r="AL884">
        <v>23.83</v>
      </c>
      <c r="AM884" t="str">
        <f>"9080206093"</f>
        <v>9080206093</v>
      </c>
      <c r="AN884">
        <v>2023</v>
      </c>
      <c r="AO884">
        <v>363</v>
      </c>
      <c r="AP884">
        <v>23.83</v>
      </c>
      <c r="AQ884">
        <v>0</v>
      </c>
      <c r="AR884">
        <v>251.37</v>
      </c>
      <c r="AS884" t="s">
        <v>194</v>
      </c>
      <c r="AT884">
        <v>21.66</v>
      </c>
      <c r="AU884">
        <v>2.17</v>
      </c>
      <c r="AV884">
        <v>2023</v>
      </c>
      <c r="AW884">
        <v>241</v>
      </c>
      <c r="AX884">
        <v>670</v>
      </c>
      <c r="AY884">
        <v>0</v>
      </c>
      <c r="AZ884" t="s">
        <v>1691</v>
      </c>
      <c r="BA884">
        <v>23.83</v>
      </c>
      <c r="BB884" s="1">
        <v>45008</v>
      </c>
    </row>
    <row r="885" spans="1:54" x14ac:dyDescent="0.25">
      <c r="A885">
        <v>2023</v>
      </c>
      <c r="B885">
        <v>462</v>
      </c>
      <c r="C885" s="1">
        <v>45008</v>
      </c>
      <c r="D885">
        <v>2023</v>
      </c>
      <c r="E885">
        <v>2023</v>
      </c>
      <c r="F885">
        <v>15</v>
      </c>
      <c r="H885" t="s">
        <v>1689</v>
      </c>
      <c r="I885">
        <v>130</v>
      </c>
      <c r="J885">
        <v>0</v>
      </c>
      <c r="K885" t="s">
        <v>128</v>
      </c>
      <c r="R885" t="s">
        <v>190</v>
      </c>
      <c r="S885" t="str">
        <f t="shared" si="89"/>
        <v>31</v>
      </c>
      <c r="T885" t="s">
        <v>122</v>
      </c>
      <c r="W885" t="s">
        <v>1690</v>
      </c>
      <c r="Y885">
        <v>3344</v>
      </c>
      <c r="Z885" t="s">
        <v>192</v>
      </c>
      <c r="AB885" t="str">
        <f t="shared" si="90"/>
        <v>02616630022</v>
      </c>
      <c r="AC885" t="s">
        <v>116</v>
      </c>
      <c r="AD885" t="s">
        <v>193</v>
      </c>
      <c r="AF885">
        <v>2023</v>
      </c>
      <c r="AG885">
        <v>565</v>
      </c>
      <c r="AH885" t="str">
        <f t="shared" si="88"/>
        <v>1</v>
      </c>
      <c r="AI885" t="str">
        <f>"5230043554"</f>
        <v>5230043554</v>
      </c>
      <c r="AJ885" s="1">
        <v>44977</v>
      </c>
      <c r="AL885">
        <v>4.26</v>
      </c>
      <c r="AM885" t="str">
        <f>"9080205104"</f>
        <v>9080205104</v>
      </c>
      <c r="AN885">
        <v>2023</v>
      </c>
      <c r="AO885">
        <v>363</v>
      </c>
      <c r="AP885">
        <v>4.26</v>
      </c>
      <c r="AQ885">
        <v>0</v>
      </c>
      <c r="AR885">
        <v>251.37</v>
      </c>
      <c r="AS885" t="s">
        <v>194</v>
      </c>
      <c r="AT885">
        <v>3.87</v>
      </c>
      <c r="AU885">
        <v>0.39</v>
      </c>
      <c r="AV885">
        <v>2023</v>
      </c>
      <c r="AW885">
        <v>241</v>
      </c>
      <c r="AX885">
        <v>670</v>
      </c>
      <c r="AY885">
        <v>0</v>
      </c>
      <c r="AZ885" t="s">
        <v>1691</v>
      </c>
      <c r="BA885">
        <v>4.26</v>
      </c>
      <c r="BB885" s="1">
        <v>45008</v>
      </c>
    </row>
    <row r="886" spans="1:54" x14ac:dyDescent="0.25">
      <c r="A886">
        <v>2023</v>
      </c>
      <c r="B886">
        <v>462</v>
      </c>
      <c r="C886" s="1">
        <v>45008</v>
      </c>
      <c r="D886">
        <v>2023</v>
      </c>
      <c r="E886">
        <v>2023</v>
      </c>
      <c r="F886">
        <v>15</v>
      </c>
      <c r="H886" t="s">
        <v>1689</v>
      </c>
      <c r="I886">
        <v>130</v>
      </c>
      <c r="J886">
        <v>0</v>
      </c>
      <c r="K886" t="s">
        <v>128</v>
      </c>
      <c r="R886" t="s">
        <v>190</v>
      </c>
      <c r="S886" t="str">
        <f t="shared" si="89"/>
        <v>31</v>
      </c>
      <c r="T886" t="s">
        <v>122</v>
      </c>
      <c r="W886" t="s">
        <v>1690</v>
      </c>
      <c r="Y886">
        <v>3344</v>
      </c>
      <c r="Z886" t="s">
        <v>192</v>
      </c>
      <c r="AB886" t="str">
        <f t="shared" si="90"/>
        <v>02616630022</v>
      </c>
      <c r="AC886" t="s">
        <v>116</v>
      </c>
      <c r="AD886" t="s">
        <v>193</v>
      </c>
      <c r="AF886">
        <v>2023</v>
      </c>
      <c r="AG886">
        <v>568</v>
      </c>
      <c r="AH886" t="str">
        <f t="shared" si="88"/>
        <v>1</v>
      </c>
      <c r="AI886" t="str">
        <f>"5230043618"</f>
        <v>5230043618</v>
      </c>
      <c r="AJ886" s="1">
        <v>44977</v>
      </c>
      <c r="AL886">
        <v>15.46</v>
      </c>
      <c r="AM886" t="str">
        <f>"9080008367"</f>
        <v>9080008367</v>
      </c>
      <c r="AN886">
        <v>2023</v>
      </c>
      <c r="AO886">
        <v>363</v>
      </c>
      <c r="AP886">
        <v>15.46</v>
      </c>
      <c r="AQ886">
        <v>0</v>
      </c>
      <c r="AR886">
        <v>251.37</v>
      </c>
      <c r="AS886" t="s">
        <v>194</v>
      </c>
      <c r="AT886">
        <v>14.05</v>
      </c>
      <c r="AU886">
        <v>1.41</v>
      </c>
      <c r="AV886">
        <v>2023</v>
      </c>
      <c r="AW886">
        <v>241</v>
      </c>
      <c r="AX886">
        <v>670</v>
      </c>
      <c r="AY886">
        <v>0</v>
      </c>
      <c r="AZ886" t="s">
        <v>1691</v>
      </c>
      <c r="BA886">
        <v>15.46</v>
      </c>
      <c r="BB886" s="1">
        <v>45008</v>
      </c>
    </row>
    <row r="887" spans="1:54" x14ac:dyDescent="0.25">
      <c r="A887">
        <v>2023</v>
      </c>
      <c r="B887">
        <v>463</v>
      </c>
      <c r="C887" s="1">
        <v>45008</v>
      </c>
      <c r="D887">
        <v>2023</v>
      </c>
      <c r="E887">
        <v>2023</v>
      </c>
      <c r="F887">
        <v>14</v>
      </c>
      <c r="H887" t="s">
        <v>852</v>
      </c>
      <c r="I887">
        <v>130</v>
      </c>
      <c r="J887">
        <v>0</v>
      </c>
      <c r="K887" t="s">
        <v>128</v>
      </c>
      <c r="R887" t="s">
        <v>190</v>
      </c>
      <c r="S887" t="str">
        <f t="shared" si="89"/>
        <v>31</v>
      </c>
      <c r="T887" t="s">
        <v>122</v>
      </c>
      <c r="W887" t="s">
        <v>1692</v>
      </c>
      <c r="Y887">
        <v>3344</v>
      </c>
      <c r="Z887" t="s">
        <v>192</v>
      </c>
      <c r="AB887" t="str">
        <f t="shared" si="90"/>
        <v>02616630022</v>
      </c>
      <c r="AC887" t="s">
        <v>116</v>
      </c>
      <c r="AD887" t="s">
        <v>193</v>
      </c>
      <c r="AF887">
        <v>2023</v>
      </c>
      <c r="AG887">
        <v>415</v>
      </c>
      <c r="AH887" t="str">
        <f t="shared" si="88"/>
        <v>1</v>
      </c>
      <c r="AI887" t="str">
        <f>"5230043625"</f>
        <v>5230043625</v>
      </c>
      <c r="AJ887" s="1">
        <v>44977</v>
      </c>
      <c r="AL887" s="2">
        <v>1426.39</v>
      </c>
      <c r="AM887" t="str">
        <f>"9079984403"</f>
        <v>9079984403</v>
      </c>
      <c r="AN887">
        <v>2023</v>
      </c>
      <c r="AO887">
        <v>364</v>
      </c>
      <c r="AP887" s="2">
        <v>1426.39</v>
      </c>
      <c r="AQ887">
        <v>0</v>
      </c>
      <c r="AR887" s="2">
        <v>7157.26</v>
      </c>
      <c r="AS887" t="s">
        <v>194</v>
      </c>
      <c r="AT887">
        <v>1296.72</v>
      </c>
      <c r="AU887">
        <v>129.66999999999999</v>
      </c>
      <c r="AV887">
        <v>2023</v>
      </c>
      <c r="AW887">
        <v>242</v>
      </c>
      <c r="AX887">
        <v>670</v>
      </c>
      <c r="AY887">
        <v>0</v>
      </c>
      <c r="AZ887" t="s">
        <v>1693</v>
      </c>
      <c r="BA887">
        <v>1426.39</v>
      </c>
      <c r="BB887" s="1">
        <v>45008</v>
      </c>
    </row>
    <row r="888" spans="1:54" x14ac:dyDescent="0.25">
      <c r="A888">
        <v>2023</v>
      </c>
      <c r="B888">
        <v>463</v>
      </c>
      <c r="C888" s="1">
        <v>45008</v>
      </c>
      <c r="D888">
        <v>2023</v>
      </c>
      <c r="E888">
        <v>2023</v>
      </c>
      <c r="F888">
        <v>14</v>
      </c>
      <c r="H888" t="s">
        <v>852</v>
      </c>
      <c r="I888">
        <v>130</v>
      </c>
      <c r="J888">
        <v>0</v>
      </c>
      <c r="K888" t="s">
        <v>128</v>
      </c>
      <c r="R888" t="s">
        <v>190</v>
      </c>
      <c r="S888" t="str">
        <f t="shared" si="89"/>
        <v>31</v>
      </c>
      <c r="T888" t="s">
        <v>122</v>
      </c>
      <c r="W888" t="s">
        <v>1692</v>
      </c>
      <c r="Y888">
        <v>3344</v>
      </c>
      <c r="Z888" t="s">
        <v>192</v>
      </c>
      <c r="AB888" t="str">
        <f t="shared" si="90"/>
        <v>02616630022</v>
      </c>
      <c r="AC888" t="s">
        <v>116</v>
      </c>
      <c r="AD888" t="s">
        <v>193</v>
      </c>
      <c r="AF888">
        <v>2023</v>
      </c>
      <c r="AG888">
        <v>416</v>
      </c>
      <c r="AH888" t="str">
        <f t="shared" si="88"/>
        <v>1</v>
      </c>
      <c r="AI888" t="str">
        <f>"5230043651"</f>
        <v>5230043651</v>
      </c>
      <c r="AJ888" s="1">
        <v>44977</v>
      </c>
      <c r="AL888">
        <v>30.11</v>
      </c>
      <c r="AM888" t="str">
        <f>"9079984216"</f>
        <v>9079984216</v>
      </c>
      <c r="AN888">
        <v>2023</v>
      </c>
      <c r="AO888">
        <v>364</v>
      </c>
      <c r="AP888">
        <v>30.11</v>
      </c>
      <c r="AQ888">
        <v>0</v>
      </c>
      <c r="AR888" s="2">
        <v>7157.26</v>
      </c>
      <c r="AS888" t="s">
        <v>194</v>
      </c>
      <c r="AT888">
        <v>27.37</v>
      </c>
      <c r="AU888">
        <v>2.74</v>
      </c>
      <c r="AV888">
        <v>2023</v>
      </c>
      <c r="AW888">
        <v>242</v>
      </c>
      <c r="AX888">
        <v>670</v>
      </c>
      <c r="AY888">
        <v>0</v>
      </c>
      <c r="AZ888" t="s">
        <v>1693</v>
      </c>
      <c r="BA888">
        <v>30.11</v>
      </c>
      <c r="BB888" s="1">
        <v>45008</v>
      </c>
    </row>
    <row r="889" spans="1:54" x14ac:dyDescent="0.25">
      <c r="A889">
        <v>2023</v>
      </c>
      <c r="B889">
        <v>463</v>
      </c>
      <c r="C889" s="1">
        <v>45008</v>
      </c>
      <c r="D889">
        <v>2023</v>
      </c>
      <c r="E889">
        <v>2023</v>
      </c>
      <c r="F889">
        <v>14</v>
      </c>
      <c r="H889" t="s">
        <v>852</v>
      </c>
      <c r="I889">
        <v>130</v>
      </c>
      <c r="J889">
        <v>0</v>
      </c>
      <c r="K889" t="s">
        <v>128</v>
      </c>
      <c r="R889" t="s">
        <v>190</v>
      </c>
      <c r="S889" t="str">
        <f t="shared" si="89"/>
        <v>31</v>
      </c>
      <c r="T889" t="s">
        <v>122</v>
      </c>
      <c r="W889" t="s">
        <v>1692</v>
      </c>
      <c r="Y889">
        <v>3344</v>
      </c>
      <c r="Z889" t="s">
        <v>192</v>
      </c>
      <c r="AB889" t="str">
        <f t="shared" si="90"/>
        <v>02616630022</v>
      </c>
      <c r="AC889" t="s">
        <v>116</v>
      </c>
      <c r="AD889" t="s">
        <v>193</v>
      </c>
      <c r="AF889">
        <v>2023</v>
      </c>
      <c r="AG889">
        <v>418</v>
      </c>
      <c r="AH889" t="str">
        <f t="shared" si="88"/>
        <v>1</v>
      </c>
      <c r="AI889" t="str">
        <f>"5230043652"</f>
        <v>5230043652</v>
      </c>
      <c r="AJ889" s="1">
        <v>44977</v>
      </c>
      <c r="AL889">
        <v>9.8000000000000007</v>
      </c>
      <c r="AM889" t="str">
        <f>"9079983348"</f>
        <v>9079983348</v>
      </c>
      <c r="AN889">
        <v>2023</v>
      </c>
      <c r="AO889">
        <v>364</v>
      </c>
      <c r="AP889">
        <v>9.8000000000000007</v>
      </c>
      <c r="AQ889">
        <v>0</v>
      </c>
      <c r="AR889" s="2">
        <v>7157.26</v>
      </c>
      <c r="AS889" t="s">
        <v>194</v>
      </c>
      <c r="AT889">
        <v>8.91</v>
      </c>
      <c r="AU889">
        <v>0.89</v>
      </c>
      <c r="AV889">
        <v>2023</v>
      </c>
      <c r="AW889">
        <v>242</v>
      </c>
      <c r="AX889">
        <v>670</v>
      </c>
      <c r="AY889">
        <v>0</v>
      </c>
      <c r="AZ889" t="s">
        <v>1693</v>
      </c>
      <c r="BA889">
        <v>9.8000000000000007</v>
      </c>
      <c r="BB889" s="1">
        <v>45008</v>
      </c>
    </row>
    <row r="890" spans="1:54" x14ac:dyDescent="0.25">
      <c r="A890">
        <v>2023</v>
      </c>
      <c r="B890">
        <v>463</v>
      </c>
      <c r="C890" s="1">
        <v>45008</v>
      </c>
      <c r="D890">
        <v>2023</v>
      </c>
      <c r="E890">
        <v>2023</v>
      </c>
      <c r="F890">
        <v>14</v>
      </c>
      <c r="H890" t="s">
        <v>852</v>
      </c>
      <c r="I890">
        <v>130</v>
      </c>
      <c r="J890">
        <v>0</v>
      </c>
      <c r="K890" t="s">
        <v>128</v>
      </c>
      <c r="R890" t="s">
        <v>190</v>
      </c>
      <c r="S890" t="str">
        <f t="shared" si="89"/>
        <v>31</v>
      </c>
      <c r="T890" t="s">
        <v>122</v>
      </c>
      <c r="W890" t="s">
        <v>1692</v>
      </c>
      <c r="Y890">
        <v>3344</v>
      </c>
      <c r="Z890" t="s">
        <v>192</v>
      </c>
      <c r="AB890" t="str">
        <f t="shared" si="90"/>
        <v>02616630022</v>
      </c>
      <c r="AC890" t="s">
        <v>116</v>
      </c>
      <c r="AD890" t="s">
        <v>193</v>
      </c>
      <c r="AF890">
        <v>2023</v>
      </c>
      <c r="AG890">
        <v>419</v>
      </c>
      <c r="AH890" t="str">
        <f t="shared" si="88"/>
        <v>1</v>
      </c>
      <c r="AI890" t="str">
        <f>"5230043637"</f>
        <v>5230043637</v>
      </c>
      <c r="AJ890" s="1">
        <v>44977</v>
      </c>
      <c r="AL890">
        <v>10.96</v>
      </c>
      <c r="AM890" t="str">
        <f>"9079984321"</f>
        <v>9079984321</v>
      </c>
      <c r="AN890">
        <v>2023</v>
      </c>
      <c r="AO890">
        <v>364</v>
      </c>
      <c r="AP890">
        <v>10.96</v>
      </c>
      <c r="AQ890">
        <v>0</v>
      </c>
      <c r="AR890" s="2">
        <v>7157.26</v>
      </c>
      <c r="AS890" t="s">
        <v>194</v>
      </c>
      <c r="AT890">
        <v>9.9600000000000009</v>
      </c>
      <c r="AU890">
        <v>1</v>
      </c>
      <c r="AV890">
        <v>2023</v>
      </c>
      <c r="AW890">
        <v>242</v>
      </c>
      <c r="AX890">
        <v>670</v>
      </c>
      <c r="AY890">
        <v>0</v>
      </c>
      <c r="AZ890" t="s">
        <v>1693</v>
      </c>
      <c r="BA890">
        <v>10.96</v>
      </c>
      <c r="BB890" s="1">
        <v>45008</v>
      </c>
    </row>
    <row r="891" spans="1:54" x14ac:dyDescent="0.25">
      <c r="A891">
        <v>2023</v>
      </c>
      <c r="B891">
        <v>463</v>
      </c>
      <c r="C891" s="1">
        <v>45008</v>
      </c>
      <c r="D891">
        <v>2023</v>
      </c>
      <c r="E891">
        <v>2023</v>
      </c>
      <c r="F891">
        <v>14</v>
      </c>
      <c r="H891" t="s">
        <v>852</v>
      </c>
      <c r="I891">
        <v>130</v>
      </c>
      <c r="J891">
        <v>0</v>
      </c>
      <c r="K891" t="s">
        <v>128</v>
      </c>
      <c r="R891" t="s">
        <v>190</v>
      </c>
      <c r="S891" t="str">
        <f t="shared" si="89"/>
        <v>31</v>
      </c>
      <c r="T891" t="s">
        <v>122</v>
      </c>
      <c r="W891" t="s">
        <v>1692</v>
      </c>
      <c r="Y891">
        <v>3344</v>
      </c>
      <c r="Z891" t="s">
        <v>192</v>
      </c>
      <c r="AB891" t="str">
        <f t="shared" si="90"/>
        <v>02616630022</v>
      </c>
      <c r="AC891" t="s">
        <v>116</v>
      </c>
      <c r="AD891" t="s">
        <v>193</v>
      </c>
      <c r="AF891">
        <v>2023</v>
      </c>
      <c r="AG891">
        <v>420</v>
      </c>
      <c r="AH891" t="str">
        <f t="shared" si="88"/>
        <v>1</v>
      </c>
      <c r="AI891" t="str">
        <f>"5230043605"</f>
        <v>5230043605</v>
      </c>
      <c r="AJ891" s="1">
        <v>44977</v>
      </c>
      <c r="AL891">
        <v>39.79</v>
      </c>
      <c r="AM891" t="str">
        <f>"9079990903"</f>
        <v>9079990903</v>
      </c>
      <c r="AN891">
        <v>2023</v>
      </c>
      <c r="AO891">
        <v>364</v>
      </c>
      <c r="AP891">
        <v>39.79</v>
      </c>
      <c r="AQ891">
        <v>0</v>
      </c>
      <c r="AR891" s="2">
        <v>7157.26</v>
      </c>
      <c r="AS891" t="s">
        <v>194</v>
      </c>
      <c r="AT891">
        <v>36.17</v>
      </c>
      <c r="AU891">
        <v>3.62</v>
      </c>
      <c r="AV891">
        <v>2023</v>
      </c>
      <c r="AW891">
        <v>242</v>
      </c>
      <c r="AX891">
        <v>670</v>
      </c>
      <c r="AY891">
        <v>0</v>
      </c>
      <c r="AZ891" t="s">
        <v>1693</v>
      </c>
      <c r="BA891">
        <v>39.79</v>
      </c>
      <c r="BB891" s="1">
        <v>45008</v>
      </c>
    </row>
    <row r="892" spans="1:54" x14ac:dyDescent="0.25">
      <c r="A892">
        <v>2023</v>
      </c>
      <c r="B892">
        <v>463</v>
      </c>
      <c r="C892" s="1">
        <v>45008</v>
      </c>
      <c r="D892">
        <v>2023</v>
      </c>
      <c r="E892">
        <v>2023</v>
      </c>
      <c r="F892">
        <v>14</v>
      </c>
      <c r="H892" t="s">
        <v>852</v>
      </c>
      <c r="I892">
        <v>130</v>
      </c>
      <c r="J892">
        <v>0</v>
      </c>
      <c r="K892" t="s">
        <v>128</v>
      </c>
      <c r="R892" t="s">
        <v>190</v>
      </c>
      <c r="S892" t="str">
        <f t="shared" si="89"/>
        <v>31</v>
      </c>
      <c r="T892" t="s">
        <v>122</v>
      </c>
      <c r="W892" t="s">
        <v>1692</v>
      </c>
      <c r="Y892">
        <v>3344</v>
      </c>
      <c r="Z892" t="s">
        <v>192</v>
      </c>
      <c r="AB892" t="str">
        <f t="shared" si="90"/>
        <v>02616630022</v>
      </c>
      <c r="AC892" t="s">
        <v>116</v>
      </c>
      <c r="AD892" t="s">
        <v>193</v>
      </c>
      <c r="AF892">
        <v>2023</v>
      </c>
      <c r="AG892">
        <v>421</v>
      </c>
      <c r="AH892" t="str">
        <f t="shared" si="88"/>
        <v>1</v>
      </c>
      <c r="AI892" t="str">
        <f>"5230043598"</f>
        <v>5230043598</v>
      </c>
      <c r="AJ892" s="1">
        <v>44977</v>
      </c>
      <c r="AL892">
        <v>43.98</v>
      </c>
      <c r="AM892" t="str">
        <f>"9080005845"</f>
        <v>9080005845</v>
      </c>
      <c r="AN892">
        <v>2023</v>
      </c>
      <c r="AO892">
        <v>364</v>
      </c>
      <c r="AP892">
        <v>43.98</v>
      </c>
      <c r="AQ892">
        <v>0</v>
      </c>
      <c r="AR892" s="2">
        <v>7157.26</v>
      </c>
      <c r="AS892" t="s">
        <v>194</v>
      </c>
      <c r="AT892">
        <v>39.979999999999997</v>
      </c>
      <c r="AU892">
        <v>4</v>
      </c>
      <c r="AV892">
        <v>2023</v>
      </c>
      <c r="AW892">
        <v>242</v>
      </c>
      <c r="AX892">
        <v>670</v>
      </c>
      <c r="AY892">
        <v>0</v>
      </c>
      <c r="AZ892" t="s">
        <v>1693</v>
      </c>
      <c r="BA892">
        <v>43.98</v>
      </c>
      <c r="BB892" s="1">
        <v>45008</v>
      </c>
    </row>
    <row r="893" spans="1:54" x14ac:dyDescent="0.25">
      <c r="A893">
        <v>2023</v>
      </c>
      <c r="B893">
        <v>463</v>
      </c>
      <c r="C893" s="1">
        <v>45008</v>
      </c>
      <c r="D893">
        <v>2023</v>
      </c>
      <c r="E893">
        <v>2023</v>
      </c>
      <c r="F893">
        <v>14</v>
      </c>
      <c r="H893" t="s">
        <v>852</v>
      </c>
      <c r="I893">
        <v>130</v>
      </c>
      <c r="J893">
        <v>0</v>
      </c>
      <c r="K893" t="s">
        <v>128</v>
      </c>
      <c r="R893" t="s">
        <v>190</v>
      </c>
      <c r="S893" t="str">
        <f t="shared" si="89"/>
        <v>31</v>
      </c>
      <c r="T893" t="s">
        <v>122</v>
      </c>
      <c r="W893" t="s">
        <v>1692</v>
      </c>
      <c r="Y893">
        <v>3344</v>
      </c>
      <c r="Z893" t="s">
        <v>192</v>
      </c>
      <c r="AB893" t="str">
        <f t="shared" si="90"/>
        <v>02616630022</v>
      </c>
      <c r="AC893" t="s">
        <v>116</v>
      </c>
      <c r="AD893" t="s">
        <v>193</v>
      </c>
      <c r="AF893">
        <v>2023</v>
      </c>
      <c r="AG893">
        <v>422</v>
      </c>
      <c r="AH893" t="str">
        <f t="shared" si="88"/>
        <v>1</v>
      </c>
      <c r="AI893" t="str">
        <f>"5230043638"</f>
        <v>5230043638</v>
      </c>
      <c r="AJ893" s="1">
        <v>44977</v>
      </c>
      <c r="AL893">
        <v>157.71</v>
      </c>
      <c r="AM893" t="str">
        <f>"9080005329"</f>
        <v>9080005329</v>
      </c>
      <c r="AN893">
        <v>2023</v>
      </c>
      <c r="AO893">
        <v>364</v>
      </c>
      <c r="AP893">
        <v>157.71</v>
      </c>
      <c r="AQ893">
        <v>0</v>
      </c>
      <c r="AR893" s="2">
        <v>7157.26</v>
      </c>
      <c r="AS893" t="s">
        <v>194</v>
      </c>
      <c r="AT893">
        <v>143.37</v>
      </c>
      <c r="AU893">
        <v>14.34</v>
      </c>
      <c r="AV893">
        <v>2023</v>
      </c>
      <c r="AW893">
        <v>242</v>
      </c>
      <c r="AX893">
        <v>670</v>
      </c>
      <c r="AY893">
        <v>0</v>
      </c>
      <c r="AZ893" t="s">
        <v>1693</v>
      </c>
      <c r="BA893">
        <v>157.71</v>
      </c>
      <c r="BB893" s="1">
        <v>45008</v>
      </c>
    </row>
    <row r="894" spans="1:54" x14ac:dyDescent="0.25">
      <c r="A894">
        <v>2023</v>
      </c>
      <c r="B894">
        <v>463</v>
      </c>
      <c r="C894" s="1">
        <v>45008</v>
      </c>
      <c r="D894">
        <v>2023</v>
      </c>
      <c r="E894">
        <v>2023</v>
      </c>
      <c r="F894">
        <v>14</v>
      </c>
      <c r="H894" t="s">
        <v>852</v>
      </c>
      <c r="I894">
        <v>130</v>
      </c>
      <c r="J894">
        <v>0</v>
      </c>
      <c r="K894" t="s">
        <v>128</v>
      </c>
      <c r="R894" t="s">
        <v>190</v>
      </c>
      <c r="S894" t="str">
        <f t="shared" si="89"/>
        <v>31</v>
      </c>
      <c r="T894" t="s">
        <v>122</v>
      </c>
      <c r="W894" t="s">
        <v>1692</v>
      </c>
      <c r="Y894">
        <v>3344</v>
      </c>
      <c r="Z894" t="s">
        <v>192</v>
      </c>
      <c r="AB894" t="str">
        <f t="shared" si="90"/>
        <v>02616630022</v>
      </c>
      <c r="AC894" t="s">
        <v>116</v>
      </c>
      <c r="AD894" t="s">
        <v>193</v>
      </c>
      <c r="AF894">
        <v>2023</v>
      </c>
      <c r="AG894">
        <v>423</v>
      </c>
      <c r="AH894" t="str">
        <f t="shared" si="88"/>
        <v>1</v>
      </c>
      <c r="AI894" t="str">
        <f>"5230043633"</f>
        <v>5230043633</v>
      </c>
      <c r="AJ894" s="1">
        <v>44977</v>
      </c>
      <c r="AL894" s="2">
        <v>5038.5600000000004</v>
      </c>
      <c r="AM894" t="str">
        <f>"9080005715"</f>
        <v>9080005715</v>
      </c>
      <c r="AN894">
        <v>2023</v>
      </c>
      <c r="AO894">
        <v>364</v>
      </c>
      <c r="AP894" s="2">
        <v>5038.5600000000004</v>
      </c>
      <c r="AQ894">
        <v>0</v>
      </c>
      <c r="AR894" s="2">
        <v>7157.26</v>
      </c>
      <c r="AS894" t="s">
        <v>194</v>
      </c>
      <c r="AT894">
        <v>4580.51</v>
      </c>
      <c r="AU894">
        <v>458.05</v>
      </c>
      <c r="AV894">
        <v>2023</v>
      </c>
      <c r="AW894">
        <v>242</v>
      </c>
      <c r="AX894">
        <v>670</v>
      </c>
      <c r="AY894">
        <v>0</v>
      </c>
      <c r="AZ894" t="s">
        <v>1693</v>
      </c>
      <c r="BA894">
        <v>5038.5600000000004</v>
      </c>
      <c r="BB894" s="1">
        <v>45008</v>
      </c>
    </row>
    <row r="895" spans="1:54" x14ac:dyDescent="0.25">
      <c r="A895">
        <v>2023</v>
      </c>
      <c r="B895">
        <v>463</v>
      </c>
      <c r="C895" s="1">
        <v>45008</v>
      </c>
      <c r="D895">
        <v>2023</v>
      </c>
      <c r="E895">
        <v>2023</v>
      </c>
      <c r="F895">
        <v>14</v>
      </c>
      <c r="H895" t="s">
        <v>852</v>
      </c>
      <c r="I895">
        <v>130</v>
      </c>
      <c r="J895">
        <v>0</v>
      </c>
      <c r="K895" t="s">
        <v>128</v>
      </c>
      <c r="R895" t="s">
        <v>190</v>
      </c>
      <c r="S895" t="str">
        <f t="shared" si="89"/>
        <v>31</v>
      </c>
      <c r="T895" t="s">
        <v>122</v>
      </c>
      <c r="W895" t="s">
        <v>1692</v>
      </c>
      <c r="Y895">
        <v>3344</v>
      </c>
      <c r="Z895" t="s">
        <v>192</v>
      </c>
      <c r="AB895" t="str">
        <f t="shared" si="90"/>
        <v>02616630022</v>
      </c>
      <c r="AC895" t="s">
        <v>116</v>
      </c>
      <c r="AD895" t="s">
        <v>193</v>
      </c>
      <c r="AF895">
        <v>2023</v>
      </c>
      <c r="AG895">
        <v>424</v>
      </c>
      <c r="AH895" t="str">
        <f t="shared" si="88"/>
        <v>1</v>
      </c>
      <c r="AI895" t="str">
        <f>"5230043622"</f>
        <v>5230043622</v>
      </c>
      <c r="AJ895" s="1">
        <v>44977</v>
      </c>
      <c r="AL895">
        <v>13.63</v>
      </c>
      <c r="AM895" t="str">
        <f>"9080008703"</f>
        <v>9080008703</v>
      </c>
      <c r="AN895">
        <v>2023</v>
      </c>
      <c r="AO895">
        <v>364</v>
      </c>
      <c r="AP895">
        <v>13.63</v>
      </c>
      <c r="AQ895">
        <v>0</v>
      </c>
      <c r="AR895" s="2">
        <v>7157.26</v>
      </c>
      <c r="AS895" t="s">
        <v>194</v>
      </c>
      <c r="AT895">
        <v>12.39</v>
      </c>
      <c r="AU895">
        <v>1.24</v>
      </c>
      <c r="AV895">
        <v>2023</v>
      </c>
      <c r="AW895">
        <v>242</v>
      </c>
      <c r="AX895">
        <v>670</v>
      </c>
      <c r="AY895">
        <v>0</v>
      </c>
      <c r="AZ895" t="s">
        <v>1693</v>
      </c>
      <c r="BA895">
        <v>13.63</v>
      </c>
      <c r="BB895" s="1">
        <v>45008</v>
      </c>
    </row>
    <row r="896" spans="1:54" x14ac:dyDescent="0.25">
      <c r="A896">
        <v>2023</v>
      </c>
      <c r="B896">
        <v>463</v>
      </c>
      <c r="C896" s="1">
        <v>45008</v>
      </c>
      <c r="D896">
        <v>2023</v>
      </c>
      <c r="E896">
        <v>2023</v>
      </c>
      <c r="F896">
        <v>14</v>
      </c>
      <c r="H896" t="s">
        <v>852</v>
      </c>
      <c r="I896">
        <v>130</v>
      </c>
      <c r="J896">
        <v>0</v>
      </c>
      <c r="K896" t="s">
        <v>128</v>
      </c>
      <c r="R896" t="s">
        <v>190</v>
      </c>
      <c r="S896" t="str">
        <f t="shared" si="89"/>
        <v>31</v>
      </c>
      <c r="T896" t="s">
        <v>122</v>
      </c>
      <c r="W896" t="s">
        <v>1692</v>
      </c>
      <c r="Y896">
        <v>3344</v>
      </c>
      <c r="Z896" t="s">
        <v>192</v>
      </c>
      <c r="AB896" t="str">
        <f t="shared" si="90"/>
        <v>02616630022</v>
      </c>
      <c r="AC896" t="s">
        <v>116</v>
      </c>
      <c r="AD896" t="s">
        <v>193</v>
      </c>
      <c r="AF896">
        <v>2023</v>
      </c>
      <c r="AG896">
        <v>425</v>
      </c>
      <c r="AH896" t="str">
        <f t="shared" si="88"/>
        <v>1</v>
      </c>
      <c r="AI896" t="str">
        <f>"5230043608"</f>
        <v>5230043608</v>
      </c>
      <c r="AJ896" s="1">
        <v>44977</v>
      </c>
      <c r="AL896">
        <v>509.11</v>
      </c>
      <c r="AM896" t="str">
        <f>"9080006738"</f>
        <v>9080006738</v>
      </c>
      <c r="AN896">
        <v>2023</v>
      </c>
      <c r="AO896">
        <v>364</v>
      </c>
      <c r="AP896">
        <v>509.11</v>
      </c>
      <c r="AQ896">
        <v>0</v>
      </c>
      <c r="AR896" s="2">
        <v>7157.26</v>
      </c>
      <c r="AS896" t="s">
        <v>194</v>
      </c>
      <c r="AT896">
        <v>462.83</v>
      </c>
      <c r="AU896">
        <v>46.28</v>
      </c>
      <c r="AV896">
        <v>2023</v>
      </c>
      <c r="AW896">
        <v>242</v>
      </c>
      <c r="AX896">
        <v>670</v>
      </c>
      <c r="AY896">
        <v>0</v>
      </c>
      <c r="AZ896" t="s">
        <v>1693</v>
      </c>
      <c r="BA896">
        <v>509.11</v>
      </c>
      <c r="BB896" s="1">
        <v>45008</v>
      </c>
    </row>
    <row r="897" spans="1:54" x14ac:dyDescent="0.25">
      <c r="A897">
        <v>2023</v>
      </c>
      <c r="B897">
        <v>463</v>
      </c>
      <c r="C897" s="1">
        <v>45008</v>
      </c>
      <c r="D897">
        <v>2023</v>
      </c>
      <c r="E897">
        <v>2023</v>
      </c>
      <c r="F897">
        <v>14</v>
      </c>
      <c r="H897" t="s">
        <v>852</v>
      </c>
      <c r="I897">
        <v>130</v>
      </c>
      <c r="J897">
        <v>0</v>
      </c>
      <c r="K897" t="s">
        <v>128</v>
      </c>
      <c r="R897" t="s">
        <v>190</v>
      </c>
      <c r="S897" t="str">
        <f t="shared" si="89"/>
        <v>31</v>
      </c>
      <c r="T897" t="s">
        <v>122</v>
      </c>
      <c r="W897" t="s">
        <v>1692</v>
      </c>
      <c r="Y897">
        <v>3344</v>
      </c>
      <c r="Z897" t="s">
        <v>192</v>
      </c>
      <c r="AB897" t="str">
        <f t="shared" si="90"/>
        <v>02616630022</v>
      </c>
      <c r="AC897" t="s">
        <v>116</v>
      </c>
      <c r="AD897" t="s">
        <v>193</v>
      </c>
      <c r="AF897">
        <v>2023</v>
      </c>
      <c r="AG897">
        <v>426</v>
      </c>
      <c r="AH897" t="str">
        <f t="shared" si="88"/>
        <v>1</v>
      </c>
      <c r="AI897" t="str">
        <f>"5230043647"</f>
        <v>5230043647</v>
      </c>
      <c r="AJ897" s="1">
        <v>44977</v>
      </c>
      <c r="AL897">
        <v>30.11</v>
      </c>
      <c r="AM897" t="str">
        <f>"9080009441"</f>
        <v>9080009441</v>
      </c>
      <c r="AN897">
        <v>2023</v>
      </c>
      <c r="AO897">
        <v>364</v>
      </c>
      <c r="AP897">
        <v>30.11</v>
      </c>
      <c r="AQ897">
        <v>0</v>
      </c>
      <c r="AR897" s="2">
        <v>7157.26</v>
      </c>
      <c r="AS897" t="s">
        <v>194</v>
      </c>
      <c r="AT897">
        <v>27.37</v>
      </c>
      <c r="AU897">
        <v>2.74</v>
      </c>
      <c r="AV897">
        <v>2023</v>
      </c>
      <c r="AW897">
        <v>242</v>
      </c>
      <c r="AX897">
        <v>670</v>
      </c>
      <c r="AY897">
        <v>0</v>
      </c>
      <c r="AZ897" t="s">
        <v>1693</v>
      </c>
      <c r="BA897">
        <v>30.11</v>
      </c>
      <c r="BB897" s="1">
        <v>45008</v>
      </c>
    </row>
    <row r="898" spans="1:54" x14ac:dyDescent="0.25">
      <c r="A898">
        <v>2023</v>
      </c>
      <c r="B898">
        <v>463</v>
      </c>
      <c r="C898" s="1">
        <v>45008</v>
      </c>
      <c r="D898">
        <v>2023</v>
      </c>
      <c r="E898">
        <v>2023</v>
      </c>
      <c r="F898">
        <v>14</v>
      </c>
      <c r="H898" t="s">
        <v>852</v>
      </c>
      <c r="I898">
        <v>130</v>
      </c>
      <c r="J898">
        <v>0</v>
      </c>
      <c r="K898" t="s">
        <v>128</v>
      </c>
      <c r="R898" t="s">
        <v>190</v>
      </c>
      <c r="S898" t="str">
        <f t="shared" si="89"/>
        <v>31</v>
      </c>
      <c r="T898" t="s">
        <v>122</v>
      </c>
      <c r="W898" t="s">
        <v>1692</v>
      </c>
      <c r="Y898">
        <v>3344</v>
      </c>
      <c r="Z898" t="s">
        <v>192</v>
      </c>
      <c r="AB898" t="str">
        <f t="shared" si="90"/>
        <v>02616630022</v>
      </c>
      <c r="AC898" t="s">
        <v>116</v>
      </c>
      <c r="AD898" t="s">
        <v>193</v>
      </c>
      <c r="AF898">
        <v>2023</v>
      </c>
      <c r="AG898">
        <v>429</v>
      </c>
      <c r="AH898" t="str">
        <f t="shared" si="88"/>
        <v>1</v>
      </c>
      <c r="AI898" t="str">
        <f>"5230043602"</f>
        <v>5230043602</v>
      </c>
      <c r="AJ898" s="1">
        <v>44977</v>
      </c>
      <c r="AL898">
        <v>382.47</v>
      </c>
      <c r="AM898" t="str">
        <f>"9080008233"</f>
        <v>9080008233</v>
      </c>
      <c r="AN898">
        <v>2023</v>
      </c>
      <c r="AO898">
        <v>364</v>
      </c>
      <c r="AP898">
        <v>382.47</v>
      </c>
      <c r="AQ898">
        <v>0</v>
      </c>
      <c r="AR898" s="2">
        <v>7157.26</v>
      </c>
      <c r="AS898" t="s">
        <v>194</v>
      </c>
      <c r="AT898">
        <v>347.7</v>
      </c>
      <c r="AU898">
        <v>34.770000000000003</v>
      </c>
      <c r="AV898">
        <v>2023</v>
      </c>
      <c r="AW898">
        <v>242</v>
      </c>
      <c r="AX898">
        <v>670</v>
      </c>
      <c r="AY898">
        <v>0</v>
      </c>
      <c r="AZ898" t="s">
        <v>1693</v>
      </c>
      <c r="BA898">
        <v>382.47</v>
      </c>
      <c r="BB898" s="1">
        <v>45008</v>
      </c>
    </row>
    <row r="899" spans="1:54" x14ac:dyDescent="0.25">
      <c r="A899">
        <v>2023</v>
      </c>
      <c r="B899">
        <v>463</v>
      </c>
      <c r="C899" s="1">
        <v>45008</v>
      </c>
      <c r="D899">
        <v>2023</v>
      </c>
      <c r="E899">
        <v>2023</v>
      </c>
      <c r="F899">
        <v>14</v>
      </c>
      <c r="H899" t="s">
        <v>852</v>
      </c>
      <c r="I899">
        <v>130</v>
      </c>
      <c r="J899">
        <v>0</v>
      </c>
      <c r="K899" t="s">
        <v>128</v>
      </c>
      <c r="R899" t="s">
        <v>190</v>
      </c>
      <c r="S899" t="str">
        <f t="shared" si="89"/>
        <v>31</v>
      </c>
      <c r="T899" t="s">
        <v>122</v>
      </c>
      <c r="W899" t="s">
        <v>1692</v>
      </c>
      <c r="Y899">
        <v>3344</v>
      </c>
      <c r="Z899" t="s">
        <v>192</v>
      </c>
      <c r="AB899" t="str">
        <f t="shared" si="90"/>
        <v>02616630022</v>
      </c>
      <c r="AC899" t="s">
        <v>116</v>
      </c>
      <c r="AD899" t="s">
        <v>193</v>
      </c>
      <c r="AF899">
        <v>2023</v>
      </c>
      <c r="AG899">
        <v>432</v>
      </c>
      <c r="AH899" t="str">
        <f t="shared" si="88"/>
        <v>1</v>
      </c>
      <c r="AI899" t="str">
        <f>"5230043640"</f>
        <v>5230043640</v>
      </c>
      <c r="AJ899" s="1">
        <v>44977</v>
      </c>
      <c r="AL899">
        <v>103.51</v>
      </c>
      <c r="AM899" t="str">
        <f>"9080009029"</f>
        <v>9080009029</v>
      </c>
      <c r="AN899">
        <v>2023</v>
      </c>
      <c r="AO899">
        <v>364</v>
      </c>
      <c r="AP899">
        <v>103.51</v>
      </c>
      <c r="AQ899">
        <v>0</v>
      </c>
      <c r="AR899" s="2">
        <v>7157.26</v>
      </c>
      <c r="AS899" t="s">
        <v>194</v>
      </c>
      <c r="AT899">
        <v>94.1</v>
      </c>
      <c r="AU899">
        <v>9.41</v>
      </c>
      <c r="AV899">
        <v>2023</v>
      </c>
      <c r="AW899">
        <v>242</v>
      </c>
      <c r="AX899">
        <v>670</v>
      </c>
      <c r="AY899">
        <v>0</v>
      </c>
      <c r="AZ899" t="s">
        <v>1693</v>
      </c>
      <c r="BA899">
        <v>103.51</v>
      </c>
      <c r="BB899" s="1">
        <v>45008</v>
      </c>
    </row>
    <row r="900" spans="1:54" x14ac:dyDescent="0.25">
      <c r="A900">
        <v>2023</v>
      </c>
      <c r="B900">
        <v>463</v>
      </c>
      <c r="C900" s="1">
        <v>45008</v>
      </c>
      <c r="D900">
        <v>2023</v>
      </c>
      <c r="E900">
        <v>2023</v>
      </c>
      <c r="F900">
        <v>14</v>
      </c>
      <c r="H900" t="s">
        <v>852</v>
      </c>
      <c r="I900">
        <v>130</v>
      </c>
      <c r="J900">
        <v>0</v>
      </c>
      <c r="K900" t="s">
        <v>128</v>
      </c>
      <c r="R900" t="s">
        <v>190</v>
      </c>
      <c r="S900" t="str">
        <f t="shared" si="89"/>
        <v>31</v>
      </c>
      <c r="T900" t="s">
        <v>122</v>
      </c>
      <c r="W900" t="s">
        <v>1692</v>
      </c>
      <c r="Y900">
        <v>3344</v>
      </c>
      <c r="Z900" t="s">
        <v>192</v>
      </c>
      <c r="AB900" t="str">
        <f t="shared" si="90"/>
        <v>02616630022</v>
      </c>
      <c r="AC900" t="s">
        <v>116</v>
      </c>
      <c r="AD900" t="s">
        <v>193</v>
      </c>
      <c r="AF900">
        <v>2023</v>
      </c>
      <c r="AG900">
        <v>433</v>
      </c>
      <c r="AH900" t="str">
        <f t="shared" si="88"/>
        <v>1</v>
      </c>
      <c r="AI900" t="str">
        <f>"5230043610"</f>
        <v>5230043610</v>
      </c>
      <c r="AJ900" s="1">
        <v>44977</v>
      </c>
      <c r="AL900" s="2">
        <v>3744.96</v>
      </c>
      <c r="AM900" t="str">
        <f>"9080007246"</f>
        <v>9080007246</v>
      </c>
      <c r="AN900">
        <v>2023</v>
      </c>
      <c r="AO900">
        <v>364</v>
      </c>
      <c r="AP900" s="2">
        <v>3744.96</v>
      </c>
      <c r="AQ900">
        <v>0</v>
      </c>
      <c r="AR900" s="2">
        <v>7157.26</v>
      </c>
      <c r="AS900" t="s">
        <v>194</v>
      </c>
      <c r="AT900">
        <v>3404.51</v>
      </c>
      <c r="AU900">
        <v>340.45</v>
      </c>
      <c r="AV900">
        <v>2023</v>
      </c>
      <c r="AW900">
        <v>242</v>
      </c>
      <c r="AX900">
        <v>670</v>
      </c>
      <c r="AY900">
        <v>0</v>
      </c>
      <c r="AZ900" t="s">
        <v>1693</v>
      </c>
      <c r="BA900">
        <v>3744.96</v>
      </c>
      <c r="BB900" s="1">
        <v>45008</v>
      </c>
    </row>
    <row r="901" spans="1:54" x14ac:dyDescent="0.25">
      <c r="A901">
        <v>2023</v>
      </c>
      <c r="B901">
        <v>463</v>
      </c>
      <c r="C901" s="1">
        <v>45008</v>
      </c>
      <c r="D901">
        <v>2023</v>
      </c>
      <c r="E901">
        <v>2023</v>
      </c>
      <c r="F901">
        <v>14</v>
      </c>
      <c r="H901" t="s">
        <v>852</v>
      </c>
      <c r="I901">
        <v>130</v>
      </c>
      <c r="J901">
        <v>0</v>
      </c>
      <c r="K901" t="s">
        <v>128</v>
      </c>
      <c r="R901" t="s">
        <v>190</v>
      </c>
      <c r="S901" t="str">
        <f t="shared" si="89"/>
        <v>31</v>
      </c>
      <c r="T901" t="s">
        <v>122</v>
      </c>
      <c r="W901" t="s">
        <v>1692</v>
      </c>
      <c r="Y901">
        <v>3344</v>
      </c>
      <c r="Z901" t="s">
        <v>192</v>
      </c>
      <c r="AB901" t="str">
        <f t="shared" si="90"/>
        <v>02616630022</v>
      </c>
      <c r="AC901" t="s">
        <v>116</v>
      </c>
      <c r="AD901" t="s">
        <v>193</v>
      </c>
      <c r="AF901">
        <v>2023</v>
      </c>
      <c r="AG901">
        <v>434</v>
      </c>
      <c r="AH901" t="str">
        <f t="shared" si="88"/>
        <v>1</v>
      </c>
      <c r="AI901" t="str">
        <f>"5230043623"</f>
        <v>5230043623</v>
      </c>
      <c r="AJ901" s="1">
        <v>44977</v>
      </c>
      <c r="AL901">
        <v>9.8000000000000007</v>
      </c>
      <c r="AM901" t="str">
        <f>"9080008655"</f>
        <v>9080008655</v>
      </c>
      <c r="AN901">
        <v>2023</v>
      </c>
      <c r="AO901">
        <v>364</v>
      </c>
      <c r="AP901">
        <v>9.8000000000000007</v>
      </c>
      <c r="AQ901">
        <v>0</v>
      </c>
      <c r="AR901" s="2">
        <v>7157.26</v>
      </c>
      <c r="AS901" t="s">
        <v>194</v>
      </c>
      <c r="AT901">
        <v>8.91</v>
      </c>
      <c r="AU901">
        <v>0.89</v>
      </c>
      <c r="AV901">
        <v>2023</v>
      </c>
      <c r="AW901">
        <v>242</v>
      </c>
      <c r="AX901">
        <v>670</v>
      </c>
      <c r="AY901">
        <v>0</v>
      </c>
      <c r="AZ901" t="s">
        <v>1693</v>
      </c>
      <c r="BA901">
        <v>9.8000000000000007</v>
      </c>
      <c r="BB901" s="1">
        <v>45008</v>
      </c>
    </row>
    <row r="902" spans="1:54" x14ac:dyDescent="0.25">
      <c r="A902">
        <v>2023</v>
      </c>
      <c r="B902">
        <v>463</v>
      </c>
      <c r="C902" s="1">
        <v>45008</v>
      </c>
      <c r="D902">
        <v>2023</v>
      </c>
      <c r="E902">
        <v>2023</v>
      </c>
      <c r="F902">
        <v>14</v>
      </c>
      <c r="H902" t="s">
        <v>852</v>
      </c>
      <c r="I902">
        <v>130</v>
      </c>
      <c r="J902">
        <v>0</v>
      </c>
      <c r="K902" t="s">
        <v>128</v>
      </c>
      <c r="R902" t="s">
        <v>190</v>
      </c>
      <c r="S902" t="str">
        <f t="shared" si="89"/>
        <v>31</v>
      </c>
      <c r="T902" t="s">
        <v>122</v>
      </c>
      <c r="W902" t="s">
        <v>1692</v>
      </c>
      <c r="Y902">
        <v>3344</v>
      </c>
      <c r="Z902" t="s">
        <v>192</v>
      </c>
      <c r="AB902" t="str">
        <f t="shared" si="90"/>
        <v>02616630022</v>
      </c>
      <c r="AC902" t="s">
        <v>116</v>
      </c>
      <c r="AD902" t="s">
        <v>193</v>
      </c>
      <c r="AF902">
        <v>2023</v>
      </c>
      <c r="AG902">
        <v>435</v>
      </c>
      <c r="AH902" t="str">
        <f t="shared" si="88"/>
        <v>1</v>
      </c>
      <c r="AI902" t="str">
        <f>"5230043635"</f>
        <v>5230043635</v>
      </c>
      <c r="AJ902" s="1">
        <v>44977</v>
      </c>
      <c r="AL902">
        <v>130.77000000000001</v>
      </c>
      <c r="AM902" t="str">
        <f>"9079983738"</f>
        <v>9079983738</v>
      </c>
      <c r="AN902">
        <v>2023</v>
      </c>
      <c r="AO902">
        <v>364</v>
      </c>
      <c r="AP902">
        <v>130.77000000000001</v>
      </c>
      <c r="AQ902">
        <v>0</v>
      </c>
      <c r="AR902" s="2">
        <v>7157.26</v>
      </c>
      <c r="AS902" t="s">
        <v>194</v>
      </c>
      <c r="AT902">
        <v>118.88</v>
      </c>
      <c r="AU902">
        <v>11.89</v>
      </c>
      <c r="AV902">
        <v>2023</v>
      </c>
      <c r="AW902">
        <v>242</v>
      </c>
      <c r="AX902">
        <v>670</v>
      </c>
      <c r="AY902">
        <v>0</v>
      </c>
      <c r="AZ902" t="s">
        <v>1693</v>
      </c>
      <c r="BA902">
        <v>130.77000000000001</v>
      </c>
      <c r="BB902" s="1">
        <v>45008</v>
      </c>
    </row>
    <row r="903" spans="1:54" x14ac:dyDescent="0.25">
      <c r="A903">
        <v>2023</v>
      </c>
      <c r="B903">
        <v>463</v>
      </c>
      <c r="C903" s="1">
        <v>45008</v>
      </c>
      <c r="D903">
        <v>2023</v>
      </c>
      <c r="E903">
        <v>2023</v>
      </c>
      <c r="F903">
        <v>14</v>
      </c>
      <c r="H903" t="s">
        <v>852</v>
      </c>
      <c r="I903">
        <v>130</v>
      </c>
      <c r="J903">
        <v>0</v>
      </c>
      <c r="K903" t="s">
        <v>128</v>
      </c>
      <c r="R903" t="s">
        <v>190</v>
      </c>
      <c r="S903" t="str">
        <f t="shared" si="89"/>
        <v>31</v>
      </c>
      <c r="T903" t="s">
        <v>122</v>
      </c>
      <c r="W903" t="s">
        <v>1692</v>
      </c>
      <c r="Y903">
        <v>3344</v>
      </c>
      <c r="Z903" t="s">
        <v>192</v>
      </c>
      <c r="AB903" t="str">
        <f t="shared" si="90"/>
        <v>02616630022</v>
      </c>
      <c r="AC903" t="s">
        <v>116</v>
      </c>
      <c r="AD903" t="s">
        <v>193</v>
      </c>
      <c r="AF903">
        <v>2023</v>
      </c>
      <c r="AG903">
        <v>436</v>
      </c>
      <c r="AH903" t="str">
        <f t="shared" si="88"/>
        <v>1</v>
      </c>
      <c r="AI903" t="str">
        <f>"5230043603"</f>
        <v>5230043603</v>
      </c>
      <c r="AJ903" s="1">
        <v>44977</v>
      </c>
      <c r="AL903">
        <v>9.65</v>
      </c>
      <c r="AM903" t="str">
        <f>"9080010326"</f>
        <v>9080010326</v>
      </c>
      <c r="AN903">
        <v>2023</v>
      </c>
      <c r="AO903">
        <v>364</v>
      </c>
      <c r="AP903">
        <v>9.65</v>
      </c>
      <c r="AQ903">
        <v>0</v>
      </c>
      <c r="AR903" s="2">
        <v>7157.26</v>
      </c>
      <c r="AS903" t="s">
        <v>194</v>
      </c>
      <c r="AT903">
        <v>8.77</v>
      </c>
      <c r="AU903">
        <v>0.88</v>
      </c>
      <c r="AV903">
        <v>2023</v>
      </c>
      <c r="AW903">
        <v>242</v>
      </c>
      <c r="AX903">
        <v>670</v>
      </c>
      <c r="AY903">
        <v>0</v>
      </c>
      <c r="AZ903" t="s">
        <v>1693</v>
      </c>
      <c r="BA903">
        <v>9.65</v>
      </c>
      <c r="BB903" s="1">
        <v>45008</v>
      </c>
    </row>
    <row r="904" spans="1:54" x14ac:dyDescent="0.25">
      <c r="A904">
        <v>2023</v>
      </c>
      <c r="B904">
        <v>463</v>
      </c>
      <c r="C904" s="1">
        <v>45008</v>
      </c>
      <c r="D904">
        <v>2023</v>
      </c>
      <c r="E904">
        <v>2023</v>
      </c>
      <c r="F904">
        <v>14</v>
      </c>
      <c r="H904" t="s">
        <v>852</v>
      </c>
      <c r="I904">
        <v>130</v>
      </c>
      <c r="J904">
        <v>0</v>
      </c>
      <c r="K904" t="s">
        <v>128</v>
      </c>
      <c r="R904" t="s">
        <v>190</v>
      </c>
      <c r="S904" t="str">
        <f t="shared" si="89"/>
        <v>31</v>
      </c>
      <c r="T904" t="s">
        <v>122</v>
      </c>
      <c r="W904" t="s">
        <v>1692</v>
      </c>
      <c r="Y904">
        <v>3344</v>
      </c>
      <c r="Z904" t="s">
        <v>192</v>
      </c>
      <c r="AB904" t="str">
        <f t="shared" si="90"/>
        <v>02616630022</v>
      </c>
      <c r="AC904" t="s">
        <v>116</v>
      </c>
      <c r="AD904" t="s">
        <v>193</v>
      </c>
      <c r="AF904">
        <v>2023</v>
      </c>
      <c r="AG904">
        <v>437</v>
      </c>
      <c r="AH904" t="str">
        <f t="shared" si="88"/>
        <v>1</v>
      </c>
      <c r="AI904" t="str">
        <f>"5230043611"</f>
        <v>5230043611</v>
      </c>
      <c r="AJ904" s="1">
        <v>44977</v>
      </c>
      <c r="AL904">
        <v>237.6</v>
      </c>
      <c r="AM904" t="str">
        <f>"9080009706"</f>
        <v>9080009706</v>
      </c>
      <c r="AN904">
        <v>2023</v>
      </c>
      <c r="AO904">
        <v>364</v>
      </c>
      <c r="AP904">
        <v>237.6</v>
      </c>
      <c r="AQ904">
        <v>0</v>
      </c>
      <c r="AR904" s="2">
        <v>7157.26</v>
      </c>
      <c r="AS904" t="s">
        <v>194</v>
      </c>
      <c r="AT904">
        <v>216</v>
      </c>
      <c r="AU904">
        <v>21.6</v>
      </c>
      <c r="AV904">
        <v>2023</v>
      </c>
      <c r="AW904">
        <v>242</v>
      </c>
      <c r="AX904">
        <v>670</v>
      </c>
      <c r="AY904">
        <v>0</v>
      </c>
      <c r="AZ904" t="s">
        <v>1693</v>
      </c>
      <c r="BA904">
        <v>237.6</v>
      </c>
      <c r="BB904" s="1">
        <v>45008</v>
      </c>
    </row>
    <row r="905" spans="1:54" x14ac:dyDescent="0.25">
      <c r="A905">
        <v>2023</v>
      </c>
      <c r="B905">
        <v>463</v>
      </c>
      <c r="C905" s="1">
        <v>45008</v>
      </c>
      <c r="D905">
        <v>2023</v>
      </c>
      <c r="E905">
        <v>2023</v>
      </c>
      <c r="F905">
        <v>14</v>
      </c>
      <c r="H905" t="s">
        <v>852</v>
      </c>
      <c r="I905">
        <v>130</v>
      </c>
      <c r="J905">
        <v>0</v>
      </c>
      <c r="K905" t="s">
        <v>128</v>
      </c>
      <c r="R905" t="s">
        <v>190</v>
      </c>
      <c r="S905" t="str">
        <f t="shared" si="89"/>
        <v>31</v>
      </c>
      <c r="T905" t="s">
        <v>122</v>
      </c>
      <c r="W905" t="s">
        <v>1692</v>
      </c>
      <c r="Y905">
        <v>3344</v>
      </c>
      <c r="Z905" t="s">
        <v>192</v>
      </c>
      <c r="AB905" t="str">
        <f t="shared" si="90"/>
        <v>02616630022</v>
      </c>
      <c r="AC905" t="s">
        <v>116</v>
      </c>
      <c r="AD905" t="s">
        <v>193</v>
      </c>
      <c r="AF905">
        <v>2023</v>
      </c>
      <c r="AG905">
        <v>438</v>
      </c>
      <c r="AH905" t="str">
        <f t="shared" si="88"/>
        <v>1</v>
      </c>
      <c r="AI905" t="str">
        <f>"5230043612"</f>
        <v>5230043612</v>
      </c>
      <c r="AJ905" s="1">
        <v>44977</v>
      </c>
      <c r="AL905" s="2">
        <v>5581.1</v>
      </c>
      <c r="AM905" t="str">
        <f>"9080010050"</f>
        <v>9080010050</v>
      </c>
      <c r="AN905">
        <v>2023</v>
      </c>
      <c r="AO905">
        <v>364</v>
      </c>
      <c r="AP905" s="2">
        <v>5581.1</v>
      </c>
      <c r="AQ905">
        <v>0</v>
      </c>
      <c r="AR905" s="2">
        <v>7157.26</v>
      </c>
      <c r="AS905" t="s">
        <v>194</v>
      </c>
      <c r="AT905">
        <v>5073.7299999999996</v>
      </c>
      <c r="AU905">
        <v>507.37</v>
      </c>
      <c r="AV905">
        <v>2023</v>
      </c>
      <c r="AW905">
        <v>242</v>
      </c>
      <c r="AX905">
        <v>670</v>
      </c>
      <c r="AY905">
        <v>0</v>
      </c>
      <c r="AZ905" t="s">
        <v>1693</v>
      </c>
      <c r="BA905">
        <v>5581.1</v>
      </c>
      <c r="BB905" s="1">
        <v>45008</v>
      </c>
    </row>
    <row r="906" spans="1:54" x14ac:dyDescent="0.25">
      <c r="A906">
        <v>2023</v>
      </c>
      <c r="B906">
        <v>463</v>
      </c>
      <c r="C906" s="1">
        <v>45008</v>
      </c>
      <c r="D906">
        <v>2023</v>
      </c>
      <c r="E906">
        <v>2023</v>
      </c>
      <c r="F906">
        <v>14</v>
      </c>
      <c r="H906" t="s">
        <v>852</v>
      </c>
      <c r="I906">
        <v>130</v>
      </c>
      <c r="J906">
        <v>0</v>
      </c>
      <c r="K906" t="s">
        <v>128</v>
      </c>
      <c r="R906" t="s">
        <v>190</v>
      </c>
      <c r="S906" t="str">
        <f t="shared" si="89"/>
        <v>31</v>
      </c>
      <c r="T906" t="s">
        <v>122</v>
      </c>
      <c r="W906" t="s">
        <v>1692</v>
      </c>
      <c r="Y906">
        <v>3344</v>
      </c>
      <c r="Z906" t="s">
        <v>192</v>
      </c>
      <c r="AB906" t="str">
        <f t="shared" si="90"/>
        <v>02616630022</v>
      </c>
      <c r="AC906" t="s">
        <v>116</v>
      </c>
      <c r="AD906" t="s">
        <v>193</v>
      </c>
      <c r="AF906">
        <v>2023</v>
      </c>
      <c r="AG906">
        <v>441</v>
      </c>
      <c r="AH906" t="str">
        <f t="shared" si="88"/>
        <v>1</v>
      </c>
      <c r="AI906" t="str">
        <f>"5230043629"</f>
        <v>5230043629</v>
      </c>
      <c r="AJ906" s="1">
        <v>44977</v>
      </c>
      <c r="AL906" s="2">
        <v>2072.48</v>
      </c>
      <c r="AM906" t="str">
        <f>"9079985269"</f>
        <v>9079985269</v>
      </c>
      <c r="AN906">
        <v>2023</v>
      </c>
      <c r="AO906">
        <v>364</v>
      </c>
      <c r="AP906" s="2">
        <v>2072.48</v>
      </c>
      <c r="AQ906">
        <v>0</v>
      </c>
      <c r="AR906" s="2">
        <v>7157.26</v>
      </c>
      <c r="AS906" t="s">
        <v>194</v>
      </c>
      <c r="AT906">
        <v>1884.07</v>
      </c>
      <c r="AU906">
        <v>188.41</v>
      </c>
      <c r="AV906">
        <v>2023</v>
      </c>
      <c r="AW906">
        <v>242</v>
      </c>
      <c r="AX906">
        <v>670</v>
      </c>
      <c r="AY906">
        <v>0</v>
      </c>
      <c r="AZ906" t="s">
        <v>1693</v>
      </c>
      <c r="BA906">
        <v>2072.48</v>
      </c>
      <c r="BB906" s="1">
        <v>45008</v>
      </c>
    </row>
    <row r="907" spans="1:54" x14ac:dyDescent="0.25">
      <c r="A907">
        <v>2023</v>
      </c>
      <c r="B907">
        <v>463</v>
      </c>
      <c r="C907" s="1">
        <v>45008</v>
      </c>
      <c r="D907">
        <v>2023</v>
      </c>
      <c r="E907">
        <v>2023</v>
      </c>
      <c r="F907">
        <v>14</v>
      </c>
      <c r="H907" t="s">
        <v>852</v>
      </c>
      <c r="I907">
        <v>130</v>
      </c>
      <c r="J907">
        <v>0</v>
      </c>
      <c r="K907" t="s">
        <v>128</v>
      </c>
      <c r="R907" t="s">
        <v>190</v>
      </c>
      <c r="S907" t="str">
        <f t="shared" si="89"/>
        <v>31</v>
      </c>
      <c r="T907" t="s">
        <v>122</v>
      </c>
      <c r="W907" t="s">
        <v>1692</v>
      </c>
      <c r="Y907">
        <v>3344</v>
      </c>
      <c r="Z907" t="s">
        <v>192</v>
      </c>
      <c r="AB907" t="str">
        <f t="shared" si="90"/>
        <v>02616630022</v>
      </c>
      <c r="AC907" t="s">
        <v>116</v>
      </c>
      <c r="AD907" t="s">
        <v>193</v>
      </c>
      <c r="AF907">
        <v>2023</v>
      </c>
      <c r="AG907">
        <v>442</v>
      </c>
      <c r="AH907" t="str">
        <f t="shared" ref="AH907:AH938" si="91">"1"</f>
        <v>1</v>
      </c>
      <c r="AI907" t="str">
        <f>"5230043568"</f>
        <v>5230043568</v>
      </c>
      <c r="AJ907" s="1">
        <v>44977</v>
      </c>
      <c r="AL907">
        <v>9.61</v>
      </c>
      <c r="AM907" t="str">
        <f>"9080215416"</f>
        <v>9080215416</v>
      </c>
      <c r="AN907">
        <v>2023</v>
      </c>
      <c r="AO907">
        <v>364</v>
      </c>
      <c r="AP907">
        <v>9.61</v>
      </c>
      <c r="AQ907">
        <v>0</v>
      </c>
      <c r="AR907" s="2">
        <v>7157.26</v>
      </c>
      <c r="AS907" t="s">
        <v>194</v>
      </c>
      <c r="AT907">
        <v>8.74</v>
      </c>
      <c r="AU907">
        <v>0.87</v>
      </c>
      <c r="AV907">
        <v>2023</v>
      </c>
      <c r="AW907">
        <v>242</v>
      </c>
      <c r="AX907">
        <v>670</v>
      </c>
      <c r="AY907">
        <v>0</v>
      </c>
      <c r="AZ907" t="s">
        <v>1693</v>
      </c>
      <c r="BA907">
        <v>9.61</v>
      </c>
      <c r="BB907" s="1">
        <v>45008</v>
      </c>
    </row>
    <row r="908" spans="1:54" x14ac:dyDescent="0.25">
      <c r="A908">
        <v>2023</v>
      </c>
      <c r="B908">
        <v>463</v>
      </c>
      <c r="C908" s="1">
        <v>45008</v>
      </c>
      <c r="D908">
        <v>2023</v>
      </c>
      <c r="E908">
        <v>2023</v>
      </c>
      <c r="F908">
        <v>14</v>
      </c>
      <c r="H908" t="s">
        <v>852</v>
      </c>
      <c r="I908">
        <v>130</v>
      </c>
      <c r="J908">
        <v>0</v>
      </c>
      <c r="K908" t="s">
        <v>128</v>
      </c>
      <c r="R908" t="s">
        <v>190</v>
      </c>
      <c r="S908" t="str">
        <f t="shared" ref="S908:S939" si="92">"31"</f>
        <v>31</v>
      </c>
      <c r="T908" t="s">
        <v>122</v>
      </c>
      <c r="W908" t="s">
        <v>1692</v>
      </c>
      <c r="Y908">
        <v>3344</v>
      </c>
      <c r="Z908" t="s">
        <v>192</v>
      </c>
      <c r="AB908" t="str">
        <f t="shared" ref="AB908:AB939" si="93">"02616630022"</f>
        <v>02616630022</v>
      </c>
      <c r="AC908" t="s">
        <v>116</v>
      </c>
      <c r="AD908" t="s">
        <v>193</v>
      </c>
      <c r="AF908">
        <v>2023</v>
      </c>
      <c r="AG908">
        <v>443</v>
      </c>
      <c r="AH908" t="str">
        <f t="shared" si="91"/>
        <v>1</v>
      </c>
      <c r="AI908" t="str">
        <f>"5230043613"</f>
        <v>5230043613</v>
      </c>
      <c r="AJ908" s="1">
        <v>44977</v>
      </c>
      <c r="AL908">
        <v>523.24</v>
      </c>
      <c r="AM908" t="str">
        <f>"9080009487"</f>
        <v>9080009487</v>
      </c>
      <c r="AN908">
        <v>2023</v>
      </c>
      <c r="AO908">
        <v>364</v>
      </c>
      <c r="AP908">
        <v>523.24</v>
      </c>
      <c r="AQ908">
        <v>0</v>
      </c>
      <c r="AR908" s="2">
        <v>7157.26</v>
      </c>
      <c r="AS908" t="s">
        <v>194</v>
      </c>
      <c r="AT908">
        <v>475.67</v>
      </c>
      <c r="AU908">
        <v>47.57</v>
      </c>
      <c r="AV908">
        <v>2023</v>
      </c>
      <c r="AW908">
        <v>242</v>
      </c>
      <c r="AX908">
        <v>670</v>
      </c>
      <c r="AY908">
        <v>0</v>
      </c>
      <c r="AZ908" t="s">
        <v>1693</v>
      </c>
      <c r="BA908">
        <v>523.24</v>
      </c>
      <c r="BB908" s="1">
        <v>45008</v>
      </c>
    </row>
    <row r="909" spans="1:54" x14ac:dyDescent="0.25">
      <c r="A909">
        <v>2023</v>
      </c>
      <c r="B909">
        <v>463</v>
      </c>
      <c r="C909" s="1">
        <v>45008</v>
      </c>
      <c r="D909">
        <v>2023</v>
      </c>
      <c r="E909">
        <v>2023</v>
      </c>
      <c r="F909">
        <v>14</v>
      </c>
      <c r="H909" t="s">
        <v>852</v>
      </c>
      <c r="I909">
        <v>130</v>
      </c>
      <c r="J909">
        <v>0</v>
      </c>
      <c r="K909" t="s">
        <v>128</v>
      </c>
      <c r="R909" t="s">
        <v>190</v>
      </c>
      <c r="S909" t="str">
        <f t="shared" si="92"/>
        <v>31</v>
      </c>
      <c r="T909" t="s">
        <v>122</v>
      </c>
      <c r="W909" t="s">
        <v>1692</v>
      </c>
      <c r="Y909">
        <v>3344</v>
      </c>
      <c r="Z909" t="s">
        <v>192</v>
      </c>
      <c r="AB909" t="str">
        <f t="shared" si="93"/>
        <v>02616630022</v>
      </c>
      <c r="AC909" t="s">
        <v>116</v>
      </c>
      <c r="AD909" t="s">
        <v>193</v>
      </c>
      <c r="AF909">
        <v>2023</v>
      </c>
      <c r="AG909">
        <v>444</v>
      </c>
      <c r="AH909" t="str">
        <f t="shared" si="91"/>
        <v>1</v>
      </c>
      <c r="AI909" t="str">
        <f>"5230043609"</f>
        <v>5230043609</v>
      </c>
      <c r="AJ909" s="1">
        <v>44977</v>
      </c>
      <c r="AL909">
        <v>533.35</v>
      </c>
      <c r="AM909" t="str">
        <f>"9080006088"</f>
        <v>9080006088</v>
      </c>
      <c r="AN909">
        <v>2023</v>
      </c>
      <c r="AO909">
        <v>364</v>
      </c>
      <c r="AP909">
        <v>533.35</v>
      </c>
      <c r="AQ909">
        <v>0</v>
      </c>
      <c r="AR909" s="2">
        <v>7157.26</v>
      </c>
      <c r="AS909" t="s">
        <v>194</v>
      </c>
      <c r="AT909">
        <v>484.86</v>
      </c>
      <c r="AU909">
        <v>48.49</v>
      </c>
      <c r="AV909">
        <v>2023</v>
      </c>
      <c r="AW909">
        <v>242</v>
      </c>
      <c r="AX909">
        <v>670</v>
      </c>
      <c r="AY909">
        <v>0</v>
      </c>
      <c r="AZ909" t="s">
        <v>1693</v>
      </c>
      <c r="BA909">
        <v>533.35</v>
      </c>
      <c r="BB909" s="1">
        <v>45008</v>
      </c>
    </row>
    <row r="910" spans="1:54" x14ac:dyDescent="0.25">
      <c r="A910">
        <v>2023</v>
      </c>
      <c r="B910">
        <v>463</v>
      </c>
      <c r="C910" s="1">
        <v>45008</v>
      </c>
      <c r="D910">
        <v>2023</v>
      </c>
      <c r="E910">
        <v>2023</v>
      </c>
      <c r="F910">
        <v>14</v>
      </c>
      <c r="H910" t="s">
        <v>852</v>
      </c>
      <c r="I910">
        <v>130</v>
      </c>
      <c r="J910">
        <v>0</v>
      </c>
      <c r="K910" t="s">
        <v>128</v>
      </c>
      <c r="R910" t="s">
        <v>190</v>
      </c>
      <c r="S910" t="str">
        <f t="shared" si="92"/>
        <v>31</v>
      </c>
      <c r="T910" t="s">
        <v>122</v>
      </c>
      <c r="W910" t="s">
        <v>1692</v>
      </c>
      <c r="Y910">
        <v>3344</v>
      </c>
      <c r="Z910" t="s">
        <v>192</v>
      </c>
      <c r="AB910" t="str">
        <f t="shared" si="93"/>
        <v>02616630022</v>
      </c>
      <c r="AC910" t="s">
        <v>116</v>
      </c>
      <c r="AD910" t="s">
        <v>193</v>
      </c>
      <c r="AF910">
        <v>2023</v>
      </c>
      <c r="AG910">
        <v>446</v>
      </c>
      <c r="AH910" t="str">
        <f t="shared" si="91"/>
        <v>1</v>
      </c>
      <c r="AI910" t="str">
        <f>"5230043624"</f>
        <v>5230043624</v>
      </c>
      <c r="AJ910" s="1">
        <v>44977</v>
      </c>
      <c r="AL910">
        <v>9.8000000000000007</v>
      </c>
      <c r="AM910" t="str">
        <f>"9079984888"</f>
        <v>9079984888</v>
      </c>
      <c r="AN910">
        <v>2023</v>
      </c>
      <c r="AO910">
        <v>364</v>
      </c>
      <c r="AP910">
        <v>9.8000000000000007</v>
      </c>
      <c r="AQ910">
        <v>0</v>
      </c>
      <c r="AR910" s="2">
        <v>7157.26</v>
      </c>
      <c r="AS910" t="s">
        <v>194</v>
      </c>
      <c r="AT910">
        <v>8.91</v>
      </c>
      <c r="AU910">
        <v>0.89</v>
      </c>
      <c r="AV910">
        <v>2023</v>
      </c>
      <c r="AW910">
        <v>242</v>
      </c>
      <c r="AX910">
        <v>670</v>
      </c>
      <c r="AY910">
        <v>0</v>
      </c>
      <c r="AZ910" t="s">
        <v>1693</v>
      </c>
      <c r="BA910">
        <v>9.8000000000000007</v>
      </c>
      <c r="BB910" s="1">
        <v>45008</v>
      </c>
    </row>
    <row r="911" spans="1:54" x14ac:dyDescent="0.25">
      <c r="A911">
        <v>2023</v>
      </c>
      <c r="B911">
        <v>463</v>
      </c>
      <c r="C911" s="1">
        <v>45008</v>
      </c>
      <c r="D911">
        <v>2023</v>
      </c>
      <c r="E911">
        <v>2023</v>
      </c>
      <c r="F911">
        <v>14</v>
      </c>
      <c r="H911" t="s">
        <v>852</v>
      </c>
      <c r="I911">
        <v>130</v>
      </c>
      <c r="J911">
        <v>0</v>
      </c>
      <c r="K911" t="s">
        <v>128</v>
      </c>
      <c r="R911" t="s">
        <v>190</v>
      </c>
      <c r="S911" t="str">
        <f t="shared" si="92"/>
        <v>31</v>
      </c>
      <c r="T911" t="s">
        <v>122</v>
      </c>
      <c r="W911" t="s">
        <v>1692</v>
      </c>
      <c r="Y911">
        <v>3344</v>
      </c>
      <c r="Z911" t="s">
        <v>192</v>
      </c>
      <c r="AB911" t="str">
        <f t="shared" si="93"/>
        <v>02616630022</v>
      </c>
      <c r="AC911" t="s">
        <v>116</v>
      </c>
      <c r="AD911" t="s">
        <v>193</v>
      </c>
      <c r="AF911">
        <v>2023</v>
      </c>
      <c r="AG911">
        <v>447</v>
      </c>
      <c r="AH911" t="str">
        <f t="shared" si="91"/>
        <v>1</v>
      </c>
      <c r="AI911" t="str">
        <f>"5230043560"</f>
        <v>5230043560</v>
      </c>
      <c r="AJ911" s="1">
        <v>44977</v>
      </c>
      <c r="AL911">
        <v>30.11</v>
      </c>
      <c r="AM911" t="str">
        <f>"9080224966"</f>
        <v>9080224966</v>
      </c>
      <c r="AN911">
        <v>2023</v>
      </c>
      <c r="AO911">
        <v>364</v>
      </c>
      <c r="AP911">
        <v>30.11</v>
      </c>
      <c r="AQ911">
        <v>0</v>
      </c>
      <c r="AR911" s="2">
        <v>7157.26</v>
      </c>
      <c r="AS911" t="s">
        <v>194</v>
      </c>
      <c r="AT911">
        <v>27.37</v>
      </c>
      <c r="AU911">
        <v>2.74</v>
      </c>
      <c r="AV911">
        <v>2023</v>
      </c>
      <c r="AW911">
        <v>242</v>
      </c>
      <c r="AX911">
        <v>670</v>
      </c>
      <c r="AY911">
        <v>0</v>
      </c>
      <c r="AZ911" t="s">
        <v>1693</v>
      </c>
      <c r="BA911">
        <v>30.11</v>
      </c>
      <c r="BB911" s="1">
        <v>45008</v>
      </c>
    </row>
    <row r="912" spans="1:54" x14ac:dyDescent="0.25">
      <c r="A912">
        <v>2023</v>
      </c>
      <c r="B912">
        <v>463</v>
      </c>
      <c r="C912" s="1">
        <v>45008</v>
      </c>
      <c r="D912">
        <v>2023</v>
      </c>
      <c r="E912">
        <v>2023</v>
      </c>
      <c r="F912">
        <v>14</v>
      </c>
      <c r="H912" t="s">
        <v>852</v>
      </c>
      <c r="I912">
        <v>130</v>
      </c>
      <c r="J912">
        <v>0</v>
      </c>
      <c r="K912" t="s">
        <v>128</v>
      </c>
      <c r="R912" t="s">
        <v>190</v>
      </c>
      <c r="S912" t="str">
        <f t="shared" si="92"/>
        <v>31</v>
      </c>
      <c r="T912" t="s">
        <v>122</v>
      </c>
      <c r="W912" t="s">
        <v>1692</v>
      </c>
      <c r="Y912">
        <v>3344</v>
      </c>
      <c r="Z912" t="s">
        <v>192</v>
      </c>
      <c r="AB912" t="str">
        <f t="shared" si="93"/>
        <v>02616630022</v>
      </c>
      <c r="AC912" t="s">
        <v>116</v>
      </c>
      <c r="AD912" t="s">
        <v>193</v>
      </c>
      <c r="AF912">
        <v>2023</v>
      </c>
      <c r="AG912">
        <v>448</v>
      </c>
      <c r="AH912" t="str">
        <f t="shared" si="91"/>
        <v>1</v>
      </c>
      <c r="AI912" t="str">
        <f>"5230043508"</f>
        <v>5230043508</v>
      </c>
      <c r="AJ912" s="1">
        <v>44977</v>
      </c>
      <c r="AL912" s="2">
        <v>4205.8599999999997</v>
      </c>
      <c r="AM912" t="str">
        <f>"9080259481"</f>
        <v>9080259481</v>
      </c>
      <c r="AN912">
        <v>2023</v>
      </c>
      <c r="AO912">
        <v>364</v>
      </c>
      <c r="AP912" s="2">
        <v>4205.8599999999997</v>
      </c>
      <c r="AQ912">
        <v>0</v>
      </c>
      <c r="AR912" s="2">
        <v>7157.26</v>
      </c>
      <c r="AS912" t="s">
        <v>194</v>
      </c>
      <c r="AT912">
        <v>3823.51</v>
      </c>
      <c r="AU912">
        <v>382.35</v>
      </c>
      <c r="AV912">
        <v>2023</v>
      </c>
      <c r="AW912">
        <v>242</v>
      </c>
      <c r="AX912">
        <v>670</v>
      </c>
      <c r="AY912">
        <v>0</v>
      </c>
      <c r="AZ912" t="s">
        <v>1693</v>
      </c>
      <c r="BA912">
        <v>4205.8599999999997</v>
      </c>
      <c r="BB912" s="1">
        <v>45008</v>
      </c>
    </row>
    <row r="913" spans="1:54" x14ac:dyDescent="0.25">
      <c r="A913">
        <v>2023</v>
      </c>
      <c r="B913">
        <v>463</v>
      </c>
      <c r="C913" s="1">
        <v>45008</v>
      </c>
      <c r="D913">
        <v>2023</v>
      </c>
      <c r="E913">
        <v>2023</v>
      </c>
      <c r="F913">
        <v>14</v>
      </c>
      <c r="H913" t="s">
        <v>852</v>
      </c>
      <c r="I913">
        <v>130</v>
      </c>
      <c r="J913">
        <v>0</v>
      </c>
      <c r="K913" t="s">
        <v>128</v>
      </c>
      <c r="R913" t="s">
        <v>190</v>
      </c>
      <c r="S913" t="str">
        <f t="shared" si="92"/>
        <v>31</v>
      </c>
      <c r="T913" t="s">
        <v>122</v>
      </c>
      <c r="W913" t="s">
        <v>1692</v>
      </c>
      <c r="Y913">
        <v>3344</v>
      </c>
      <c r="Z913" t="s">
        <v>192</v>
      </c>
      <c r="AB913" t="str">
        <f t="shared" si="93"/>
        <v>02616630022</v>
      </c>
      <c r="AC913" t="s">
        <v>116</v>
      </c>
      <c r="AD913" t="s">
        <v>193</v>
      </c>
      <c r="AF913">
        <v>2023</v>
      </c>
      <c r="AG913">
        <v>449</v>
      </c>
      <c r="AH913" t="str">
        <f t="shared" si="91"/>
        <v>1</v>
      </c>
      <c r="AI913" t="str">
        <f>"5230043650"</f>
        <v>5230043650</v>
      </c>
      <c r="AJ913" s="1">
        <v>44977</v>
      </c>
      <c r="AL913">
        <v>30.11</v>
      </c>
      <c r="AM913" t="str">
        <f>"9079985188"</f>
        <v>9079985188</v>
      </c>
      <c r="AN913">
        <v>2023</v>
      </c>
      <c r="AO913">
        <v>364</v>
      </c>
      <c r="AP913">
        <v>30.11</v>
      </c>
      <c r="AQ913">
        <v>0</v>
      </c>
      <c r="AR913" s="2">
        <v>7157.26</v>
      </c>
      <c r="AS913" t="s">
        <v>194</v>
      </c>
      <c r="AT913">
        <v>27.37</v>
      </c>
      <c r="AU913">
        <v>2.74</v>
      </c>
      <c r="AV913">
        <v>2023</v>
      </c>
      <c r="AW913">
        <v>242</v>
      </c>
      <c r="AX913">
        <v>670</v>
      </c>
      <c r="AY913">
        <v>0</v>
      </c>
      <c r="AZ913" t="s">
        <v>1693</v>
      </c>
      <c r="BA913">
        <v>30.11</v>
      </c>
      <c r="BB913" s="1">
        <v>45008</v>
      </c>
    </row>
    <row r="914" spans="1:54" x14ac:dyDescent="0.25">
      <c r="A914">
        <v>2023</v>
      </c>
      <c r="B914">
        <v>463</v>
      </c>
      <c r="C914" s="1">
        <v>45008</v>
      </c>
      <c r="D914">
        <v>2023</v>
      </c>
      <c r="E914">
        <v>2023</v>
      </c>
      <c r="F914">
        <v>14</v>
      </c>
      <c r="H914" t="s">
        <v>852</v>
      </c>
      <c r="I914">
        <v>130</v>
      </c>
      <c r="J914">
        <v>0</v>
      </c>
      <c r="K914" t="s">
        <v>128</v>
      </c>
      <c r="R914" t="s">
        <v>190</v>
      </c>
      <c r="S914" t="str">
        <f t="shared" si="92"/>
        <v>31</v>
      </c>
      <c r="T914" t="s">
        <v>122</v>
      </c>
      <c r="W914" t="s">
        <v>1692</v>
      </c>
      <c r="Y914">
        <v>3344</v>
      </c>
      <c r="Z914" t="s">
        <v>192</v>
      </c>
      <c r="AB914" t="str">
        <f t="shared" si="93"/>
        <v>02616630022</v>
      </c>
      <c r="AC914" t="s">
        <v>116</v>
      </c>
      <c r="AD914" t="s">
        <v>193</v>
      </c>
      <c r="AF914">
        <v>2023</v>
      </c>
      <c r="AG914">
        <v>451</v>
      </c>
      <c r="AH914" t="str">
        <f t="shared" si="91"/>
        <v>1</v>
      </c>
      <c r="AI914" t="str">
        <f>"5230043555"</f>
        <v>5230043555</v>
      </c>
      <c r="AJ914" s="1">
        <v>44977</v>
      </c>
      <c r="AL914" s="2">
        <v>3129.71</v>
      </c>
      <c r="AM914" t="str">
        <f>"9080228295"</f>
        <v>9080228295</v>
      </c>
      <c r="AN914">
        <v>2023</v>
      </c>
      <c r="AO914">
        <v>364</v>
      </c>
      <c r="AP914" s="2">
        <v>3129.71</v>
      </c>
      <c r="AQ914">
        <v>0</v>
      </c>
      <c r="AR914" s="2">
        <v>7157.26</v>
      </c>
      <c r="AS914" t="s">
        <v>194</v>
      </c>
      <c r="AT914">
        <v>2845.19</v>
      </c>
      <c r="AU914">
        <v>284.52</v>
      </c>
      <c r="AV914">
        <v>2023</v>
      </c>
      <c r="AW914">
        <v>242</v>
      </c>
      <c r="AX914">
        <v>670</v>
      </c>
      <c r="AY914">
        <v>0</v>
      </c>
      <c r="AZ914" t="s">
        <v>1693</v>
      </c>
      <c r="BA914">
        <v>3129.71</v>
      </c>
      <c r="BB914" s="1">
        <v>45008</v>
      </c>
    </row>
    <row r="915" spans="1:54" x14ac:dyDescent="0.25">
      <c r="A915">
        <v>2023</v>
      </c>
      <c r="B915">
        <v>463</v>
      </c>
      <c r="C915" s="1">
        <v>45008</v>
      </c>
      <c r="D915">
        <v>2023</v>
      </c>
      <c r="E915">
        <v>2023</v>
      </c>
      <c r="F915">
        <v>14</v>
      </c>
      <c r="H915" t="s">
        <v>852</v>
      </c>
      <c r="I915">
        <v>130</v>
      </c>
      <c r="J915">
        <v>0</v>
      </c>
      <c r="K915" t="s">
        <v>128</v>
      </c>
      <c r="R915" t="s">
        <v>190</v>
      </c>
      <c r="S915" t="str">
        <f t="shared" si="92"/>
        <v>31</v>
      </c>
      <c r="T915" t="s">
        <v>122</v>
      </c>
      <c r="W915" t="s">
        <v>1692</v>
      </c>
      <c r="Y915">
        <v>3344</v>
      </c>
      <c r="Z915" t="s">
        <v>192</v>
      </c>
      <c r="AB915" t="str">
        <f t="shared" si="93"/>
        <v>02616630022</v>
      </c>
      <c r="AC915" t="s">
        <v>116</v>
      </c>
      <c r="AD915" t="s">
        <v>193</v>
      </c>
      <c r="AF915">
        <v>2023</v>
      </c>
      <c r="AG915">
        <v>453</v>
      </c>
      <c r="AH915" t="str">
        <f t="shared" si="91"/>
        <v>1</v>
      </c>
      <c r="AI915" t="str">
        <f>"5230043500"</f>
        <v>5230043500</v>
      </c>
      <c r="AJ915" s="1">
        <v>44977</v>
      </c>
      <c r="AL915" s="2">
        <v>3231.05</v>
      </c>
      <c r="AM915" t="str">
        <f>"9080259318"</f>
        <v>9080259318</v>
      </c>
      <c r="AN915">
        <v>2023</v>
      </c>
      <c r="AO915">
        <v>364</v>
      </c>
      <c r="AP915" s="2">
        <v>3231.05</v>
      </c>
      <c r="AQ915">
        <v>0</v>
      </c>
      <c r="AR915" s="2">
        <v>7157.26</v>
      </c>
      <c r="AS915" t="s">
        <v>194</v>
      </c>
      <c r="AT915">
        <v>2937.32</v>
      </c>
      <c r="AU915">
        <v>293.73</v>
      </c>
      <c r="AV915">
        <v>2023</v>
      </c>
      <c r="AW915">
        <v>242</v>
      </c>
      <c r="AX915">
        <v>670</v>
      </c>
      <c r="AY915">
        <v>0</v>
      </c>
      <c r="AZ915" t="s">
        <v>1693</v>
      </c>
      <c r="BA915">
        <v>3231.05</v>
      </c>
      <c r="BB915" s="1">
        <v>45008</v>
      </c>
    </row>
    <row r="916" spans="1:54" x14ac:dyDescent="0.25">
      <c r="A916">
        <v>2023</v>
      </c>
      <c r="B916">
        <v>463</v>
      </c>
      <c r="C916" s="1">
        <v>45008</v>
      </c>
      <c r="D916">
        <v>2023</v>
      </c>
      <c r="E916">
        <v>2023</v>
      </c>
      <c r="F916">
        <v>14</v>
      </c>
      <c r="H916" t="s">
        <v>852</v>
      </c>
      <c r="I916">
        <v>130</v>
      </c>
      <c r="J916">
        <v>0</v>
      </c>
      <c r="K916" t="s">
        <v>128</v>
      </c>
      <c r="R916" t="s">
        <v>190</v>
      </c>
      <c r="S916" t="str">
        <f t="shared" si="92"/>
        <v>31</v>
      </c>
      <c r="T916" t="s">
        <v>122</v>
      </c>
      <c r="W916" t="s">
        <v>1692</v>
      </c>
      <c r="Y916">
        <v>3344</v>
      </c>
      <c r="Z916" t="s">
        <v>192</v>
      </c>
      <c r="AB916" t="str">
        <f t="shared" si="93"/>
        <v>02616630022</v>
      </c>
      <c r="AC916" t="s">
        <v>116</v>
      </c>
      <c r="AD916" t="s">
        <v>193</v>
      </c>
      <c r="AF916">
        <v>2023</v>
      </c>
      <c r="AG916">
        <v>454</v>
      </c>
      <c r="AH916" t="str">
        <f t="shared" si="91"/>
        <v>1</v>
      </c>
      <c r="AI916" t="str">
        <f>"5230043645"</f>
        <v>5230043645</v>
      </c>
      <c r="AJ916" s="1">
        <v>44977</v>
      </c>
      <c r="AL916">
        <v>27.75</v>
      </c>
      <c r="AM916" t="str">
        <f>"9080009394"</f>
        <v>9080009394</v>
      </c>
      <c r="AN916">
        <v>2023</v>
      </c>
      <c r="AO916">
        <v>364</v>
      </c>
      <c r="AP916">
        <v>27.75</v>
      </c>
      <c r="AQ916">
        <v>0</v>
      </c>
      <c r="AR916" s="2">
        <v>7157.26</v>
      </c>
      <c r="AS916" t="s">
        <v>194</v>
      </c>
      <c r="AT916">
        <v>25.23</v>
      </c>
      <c r="AU916">
        <v>2.52</v>
      </c>
      <c r="AV916">
        <v>2023</v>
      </c>
      <c r="AW916">
        <v>242</v>
      </c>
      <c r="AX916">
        <v>670</v>
      </c>
      <c r="AY916">
        <v>0</v>
      </c>
      <c r="AZ916" t="s">
        <v>1693</v>
      </c>
      <c r="BA916">
        <v>27.75</v>
      </c>
      <c r="BB916" s="1">
        <v>45008</v>
      </c>
    </row>
    <row r="917" spans="1:54" x14ac:dyDescent="0.25">
      <c r="A917">
        <v>2023</v>
      </c>
      <c r="B917">
        <v>463</v>
      </c>
      <c r="C917" s="1">
        <v>45008</v>
      </c>
      <c r="D917">
        <v>2023</v>
      </c>
      <c r="E917">
        <v>2023</v>
      </c>
      <c r="F917">
        <v>14</v>
      </c>
      <c r="H917" t="s">
        <v>852</v>
      </c>
      <c r="I917">
        <v>130</v>
      </c>
      <c r="J917">
        <v>0</v>
      </c>
      <c r="K917" t="s">
        <v>128</v>
      </c>
      <c r="R917" t="s">
        <v>190</v>
      </c>
      <c r="S917" t="str">
        <f t="shared" si="92"/>
        <v>31</v>
      </c>
      <c r="T917" t="s">
        <v>122</v>
      </c>
      <c r="W917" t="s">
        <v>1692</v>
      </c>
      <c r="Y917">
        <v>3344</v>
      </c>
      <c r="Z917" t="s">
        <v>192</v>
      </c>
      <c r="AB917" t="str">
        <f t="shared" si="93"/>
        <v>02616630022</v>
      </c>
      <c r="AC917" t="s">
        <v>116</v>
      </c>
      <c r="AD917" t="s">
        <v>193</v>
      </c>
      <c r="AF917">
        <v>2023</v>
      </c>
      <c r="AG917">
        <v>456</v>
      </c>
      <c r="AH917" t="str">
        <f t="shared" si="91"/>
        <v>1</v>
      </c>
      <c r="AI917" t="str">
        <f>"5230043586"</f>
        <v>5230043586</v>
      </c>
      <c r="AJ917" s="1">
        <v>44977</v>
      </c>
      <c r="AL917">
        <v>426.29</v>
      </c>
      <c r="AM917" t="str">
        <f>"9080224797"</f>
        <v>9080224797</v>
      </c>
      <c r="AN917">
        <v>2023</v>
      </c>
      <c r="AO917">
        <v>364</v>
      </c>
      <c r="AP917">
        <v>426.29</v>
      </c>
      <c r="AQ917">
        <v>0</v>
      </c>
      <c r="AR917" s="2">
        <v>7157.26</v>
      </c>
      <c r="AS917" t="s">
        <v>194</v>
      </c>
      <c r="AT917">
        <v>387.54</v>
      </c>
      <c r="AU917">
        <v>38.75</v>
      </c>
      <c r="AV917">
        <v>2023</v>
      </c>
      <c r="AW917">
        <v>242</v>
      </c>
      <c r="AX917">
        <v>670</v>
      </c>
      <c r="AY917">
        <v>0</v>
      </c>
      <c r="AZ917" t="s">
        <v>1693</v>
      </c>
      <c r="BA917">
        <v>426.29</v>
      </c>
      <c r="BB917" s="1">
        <v>45008</v>
      </c>
    </row>
    <row r="918" spans="1:54" x14ac:dyDescent="0.25">
      <c r="A918">
        <v>2023</v>
      </c>
      <c r="B918">
        <v>463</v>
      </c>
      <c r="C918" s="1">
        <v>45008</v>
      </c>
      <c r="D918">
        <v>2023</v>
      </c>
      <c r="E918">
        <v>2023</v>
      </c>
      <c r="F918">
        <v>14</v>
      </c>
      <c r="H918" t="s">
        <v>852</v>
      </c>
      <c r="I918">
        <v>130</v>
      </c>
      <c r="J918">
        <v>0</v>
      </c>
      <c r="K918" t="s">
        <v>128</v>
      </c>
      <c r="R918" t="s">
        <v>190</v>
      </c>
      <c r="S918" t="str">
        <f t="shared" si="92"/>
        <v>31</v>
      </c>
      <c r="T918" t="s">
        <v>122</v>
      </c>
      <c r="W918" t="s">
        <v>1692</v>
      </c>
      <c r="Y918">
        <v>3344</v>
      </c>
      <c r="Z918" t="s">
        <v>192</v>
      </c>
      <c r="AB918" t="str">
        <f t="shared" si="93"/>
        <v>02616630022</v>
      </c>
      <c r="AC918" t="s">
        <v>116</v>
      </c>
      <c r="AD918" t="s">
        <v>193</v>
      </c>
      <c r="AF918">
        <v>2023</v>
      </c>
      <c r="AG918">
        <v>457</v>
      </c>
      <c r="AH918" t="str">
        <f t="shared" si="91"/>
        <v>1</v>
      </c>
      <c r="AI918" t="str">
        <f>"5230043595"</f>
        <v>5230043595</v>
      </c>
      <c r="AJ918" s="1">
        <v>44977</v>
      </c>
      <c r="AL918">
        <v>307.47000000000003</v>
      </c>
      <c r="AM918" t="str">
        <f>"9080197395"</f>
        <v>9080197395</v>
      </c>
      <c r="AN918">
        <v>2023</v>
      </c>
      <c r="AO918">
        <v>364</v>
      </c>
      <c r="AP918">
        <v>307.47000000000003</v>
      </c>
      <c r="AQ918">
        <v>0</v>
      </c>
      <c r="AR918" s="2">
        <v>7157.26</v>
      </c>
      <c r="AS918" t="s">
        <v>194</v>
      </c>
      <c r="AT918">
        <v>279.52</v>
      </c>
      <c r="AU918">
        <v>27.95</v>
      </c>
      <c r="AV918">
        <v>2023</v>
      </c>
      <c r="AW918">
        <v>242</v>
      </c>
      <c r="AX918">
        <v>670</v>
      </c>
      <c r="AY918">
        <v>0</v>
      </c>
      <c r="AZ918" t="s">
        <v>1693</v>
      </c>
      <c r="BA918">
        <v>307.47000000000003</v>
      </c>
      <c r="BB918" s="1">
        <v>45008</v>
      </c>
    </row>
    <row r="919" spans="1:54" x14ac:dyDescent="0.25">
      <c r="A919">
        <v>2023</v>
      </c>
      <c r="B919">
        <v>463</v>
      </c>
      <c r="C919" s="1">
        <v>45008</v>
      </c>
      <c r="D919">
        <v>2023</v>
      </c>
      <c r="E919">
        <v>2023</v>
      </c>
      <c r="F919">
        <v>14</v>
      </c>
      <c r="H919" t="s">
        <v>852</v>
      </c>
      <c r="I919">
        <v>130</v>
      </c>
      <c r="J919">
        <v>0</v>
      </c>
      <c r="K919" t="s">
        <v>128</v>
      </c>
      <c r="R919" t="s">
        <v>190</v>
      </c>
      <c r="S919" t="str">
        <f t="shared" si="92"/>
        <v>31</v>
      </c>
      <c r="T919" t="s">
        <v>122</v>
      </c>
      <c r="W919" t="s">
        <v>1692</v>
      </c>
      <c r="Y919">
        <v>3344</v>
      </c>
      <c r="Z919" t="s">
        <v>192</v>
      </c>
      <c r="AB919" t="str">
        <f t="shared" si="93"/>
        <v>02616630022</v>
      </c>
      <c r="AC919" t="s">
        <v>116</v>
      </c>
      <c r="AD919" t="s">
        <v>193</v>
      </c>
      <c r="AF919">
        <v>2023</v>
      </c>
      <c r="AG919">
        <v>458</v>
      </c>
      <c r="AH919" t="str">
        <f t="shared" si="91"/>
        <v>1</v>
      </c>
      <c r="AI919" t="str">
        <f>"5230043591"</f>
        <v>5230043591</v>
      </c>
      <c r="AJ919" s="1">
        <v>44977</v>
      </c>
      <c r="AL919">
        <v>41.87</v>
      </c>
      <c r="AM919" t="str">
        <f>"9080199900"</f>
        <v>9080199900</v>
      </c>
      <c r="AN919">
        <v>2023</v>
      </c>
      <c r="AO919">
        <v>364</v>
      </c>
      <c r="AP919">
        <v>41.87</v>
      </c>
      <c r="AQ919">
        <v>0</v>
      </c>
      <c r="AR919" s="2">
        <v>7157.26</v>
      </c>
      <c r="AS919" t="s">
        <v>194</v>
      </c>
      <c r="AT919">
        <v>38.06</v>
      </c>
      <c r="AU919">
        <v>3.81</v>
      </c>
      <c r="AV919">
        <v>2023</v>
      </c>
      <c r="AW919">
        <v>242</v>
      </c>
      <c r="AX919">
        <v>670</v>
      </c>
      <c r="AY919">
        <v>0</v>
      </c>
      <c r="AZ919" t="s">
        <v>1693</v>
      </c>
      <c r="BA919">
        <v>41.87</v>
      </c>
      <c r="BB919" s="1">
        <v>45008</v>
      </c>
    </row>
    <row r="920" spans="1:54" x14ac:dyDescent="0.25">
      <c r="A920">
        <v>2023</v>
      </c>
      <c r="B920">
        <v>463</v>
      </c>
      <c r="C920" s="1">
        <v>45008</v>
      </c>
      <c r="D920">
        <v>2023</v>
      </c>
      <c r="E920">
        <v>2023</v>
      </c>
      <c r="F920">
        <v>14</v>
      </c>
      <c r="H920" t="s">
        <v>852</v>
      </c>
      <c r="I920">
        <v>130</v>
      </c>
      <c r="J920">
        <v>0</v>
      </c>
      <c r="K920" t="s">
        <v>128</v>
      </c>
      <c r="R920" t="s">
        <v>190</v>
      </c>
      <c r="S920" t="str">
        <f t="shared" si="92"/>
        <v>31</v>
      </c>
      <c r="T920" t="s">
        <v>122</v>
      </c>
      <c r="W920" t="s">
        <v>1692</v>
      </c>
      <c r="Y920">
        <v>3344</v>
      </c>
      <c r="Z920" t="s">
        <v>192</v>
      </c>
      <c r="AB920" t="str">
        <f t="shared" si="93"/>
        <v>02616630022</v>
      </c>
      <c r="AC920" t="s">
        <v>116</v>
      </c>
      <c r="AD920" t="s">
        <v>193</v>
      </c>
      <c r="AF920">
        <v>2023</v>
      </c>
      <c r="AG920">
        <v>460</v>
      </c>
      <c r="AH920" t="str">
        <f t="shared" si="91"/>
        <v>1</v>
      </c>
      <c r="AI920" t="str">
        <f>"5230043510"</f>
        <v>5230043510</v>
      </c>
      <c r="AJ920" s="1">
        <v>44977</v>
      </c>
      <c r="AL920" s="2">
        <v>4849.5200000000004</v>
      </c>
      <c r="AM920" t="str">
        <f>"9080261351"</f>
        <v>9080261351</v>
      </c>
      <c r="AN920">
        <v>2023</v>
      </c>
      <c r="AO920">
        <v>364</v>
      </c>
      <c r="AP920" s="2">
        <v>4849.5200000000004</v>
      </c>
      <c r="AQ920">
        <v>0</v>
      </c>
      <c r="AR920" s="2">
        <v>7157.26</v>
      </c>
      <c r="AS920" t="s">
        <v>194</v>
      </c>
      <c r="AT920">
        <v>4408.6499999999996</v>
      </c>
      <c r="AU920">
        <v>440.87</v>
      </c>
      <c r="AV920">
        <v>2023</v>
      </c>
      <c r="AW920">
        <v>242</v>
      </c>
      <c r="AX920">
        <v>670</v>
      </c>
      <c r="AY920">
        <v>0</v>
      </c>
      <c r="AZ920" t="s">
        <v>1693</v>
      </c>
      <c r="BA920">
        <v>4849.5200000000004</v>
      </c>
      <c r="BB920" s="1">
        <v>45008</v>
      </c>
    </row>
    <row r="921" spans="1:54" x14ac:dyDescent="0.25">
      <c r="A921">
        <v>2023</v>
      </c>
      <c r="B921">
        <v>463</v>
      </c>
      <c r="C921" s="1">
        <v>45008</v>
      </c>
      <c r="D921">
        <v>2023</v>
      </c>
      <c r="E921">
        <v>2023</v>
      </c>
      <c r="F921">
        <v>14</v>
      </c>
      <c r="H921" t="s">
        <v>852</v>
      </c>
      <c r="I921">
        <v>130</v>
      </c>
      <c r="J921">
        <v>0</v>
      </c>
      <c r="K921" t="s">
        <v>128</v>
      </c>
      <c r="R921" t="s">
        <v>190</v>
      </c>
      <c r="S921" t="str">
        <f t="shared" si="92"/>
        <v>31</v>
      </c>
      <c r="T921" t="s">
        <v>122</v>
      </c>
      <c r="W921" t="s">
        <v>1692</v>
      </c>
      <c r="Y921">
        <v>3344</v>
      </c>
      <c r="Z921" t="s">
        <v>192</v>
      </c>
      <c r="AB921" t="str">
        <f t="shared" si="93"/>
        <v>02616630022</v>
      </c>
      <c r="AC921" t="s">
        <v>116</v>
      </c>
      <c r="AD921" t="s">
        <v>193</v>
      </c>
      <c r="AF921">
        <v>2023</v>
      </c>
      <c r="AG921">
        <v>461</v>
      </c>
      <c r="AH921" t="str">
        <f t="shared" si="91"/>
        <v>1</v>
      </c>
      <c r="AI921" t="str">
        <f>"5230043512"</f>
        <v>5230043512</v>
      </c>
      <c r="AJ921" s="1">
        <v>44977</v>
      </c>
      <c r="AL921" s="2">
        <v>4473.7700000000004</v>
      </c>
      <c r="AM921" t="str">
        <f>"9080270940"</f>
        <v>9080270940</v>
      </c>
      <c r="AN921">
        <v>2023</v>
      </c>
      <c r="AO921">
        <v>364</v>
      </c>
      <c r="AP921" s="2">
        <v>4473.7700000000004</v>
      </c>
      <c r="AQ921">
        <v>0</v>
      </c>
      <c r="AR921" s="2">
        <v>7157.26</v>
      </c>
      <c r="AS921" t="s">
        <v>194</v>
      </c>
      <c r="AT921">
        <v>4067.06</v>
      </c>
      <c r="AU921">
        <v>406.71</v>
      </c>
      <c r="AV921">
        <v>2023</v>
      </c>
      <c r="AW921">
        <v>242</v>
      </c>
      <c r="AX921">
        <v>670</v>
      </c>
      <c r="AY921">
        <v>0</v>
      </c>
      <c r="AZ921" t="s">
        <v>1693</v>
      </c>
      <c r="BA921">
        <v>4473.7700000000004</v>
      </c>
      <c r="BB921" s="1">
        <v>45008</v>
      </c>
    </row>
    <row r="922" spans="1:54" x14ac:dyDescent="0.25">
      <c r="A922">
        <v>2023</v>
      </c>
      <c r="B922">
        <v>463</v>
      </c>
      <c r="C922" s="1">
        <v>45008</v>
      </c>
      <c r="D922">
        <v>2023</v>
      </c>
      <c r="E922">
        <v>2023</v>
      </c>
      <c r="F922">
        <v>14</v>
      </c>
      <c r="H922" t="s">
        <v>852</v>
      </c>
      <c r="I922">
        <v>130</v>
      </c>
      <c r="J922">
        <v>0</v>
      </c>
      <c r="K922" t="s">
        <v>128</v>
      </c>
      <c r="R922" t="s">
        <v>190</v>
      </c>
      <c r="S922" t="str">
        <f t="shared" si="92"/>
        <v>31</v>
      </c>
      <c r="T922" t="s">
        <v>122</v>
      </c>
      <c r="W922" t="s">
        <v>1692</v>
      </c>
      <c r="Y922">
        <v>3344</v>
      </c>
      <c r="Z922" t="s">
        <v>192</v>
      </c>
      <c r="AB922" t="str">
        <f t="shared" si="93"/>
        <v>02616630022</v>
      </c>
      <c r="AC922" t="s">
        <v>116</v>
      </c>
      <c r="AD922" t="s">
        <v>193</v>
      </c>
      <c r="AF922">
        <v>2023</v>
      </c>
      <c r="AG922">
        <v>463</v>
      </c>
      <c r="AH922" t="str">
        <f t="shared" si="91"/>
        <v>1</v>
      </c>
      <c r="AI922" t="str">
        <f>"5230043646"</f>
        <v>5230043646</v>
      </c>
      <c r="AJ922" s="1">
        <v>44977</v>
      </c>
      <c r="AL922">
        <v>32.85</v>
      </c>
      <c r="AM922" t="str">
        <f>"9080010226"</f>
        <v>9080010226</v>
      </c>
      <c r="AN922">
        <v>2023</v>
      </c>
      <c r="AO922">
        <v>364</v>
      </c>
      <c r="AP922">
        <v>32.85</v>
      </c>
      <c r="AQ922">
        <v>0</v>
      </c>
      <c r="AR922" s="2">
        <v>7157.26</v>
      </c>
      <c r="AS922" t="s">
        <v>194</v>
      </c>
      <c r="AT922">
        <v>29.86</v>
      </c>
      <c r="AU922">
        <v>2.99</v>
      </c>
      <c r="AV922">
        <v>2023</v>
      </c>
      <c r="AW922">
        <v>242</v>
      </c>
      <c r="AX922">
        <v>670</v>
      </c>
      <c r="AY922">
        <v>0</v>
      </c>
      <c r="AZ922" t="s">
        <v>1693</v>
      </c>
      <c r="BA922">
        <v>32.85</v>
      </c>
      <c r="BB922" s="1">
        <v>45008</v>
      </c>
    </row>
    <row r="923" spans="1:54" x14ac:dyDescent="0.25">
      <c r="A923">
        <v>2023</v>
      </c>
      <c r="B923">
        <v>463</v>
      </c>
      <c r="C923" s="1">
        <v>45008</v>
      </c>
      <c r="D923">
        <v>2023</v>
      </c>
      <c r="E923">
        <v>2023</v>
      </c>
      <c r="F923">
        <v>14</v>
      </c>
      <c r="H923" t="s">
        <v>852</v>
      </c>
      <c r="I923">
        <v>130</v>
      </c>
      <c r="J923">
        <v>0</v>
      </c>
      <c r="K923" t="s">
        <v>128</v>
      </c>
      <c r="R923" t="s">
        <v>190</v>
      </c>
      <c r="S923" t="str">
        <f t="shared" si="92"/>
        <v>31</v>
      </c>
      <c r="T923" t="s">
        <v>122</v>
      </c>
      <c r="W923" t="s">
        <v>1692</v>
      </c>
      <c r="Y923">
        <v>3344</v>
      </c>
      <c r="Z923" t="s">
        <v>192</v>
      </c>
      <c r="AB923" t="str">
        <f t="shared" si="93"/>
        <v>02616630022</v>
      </c>
      <c r="AC923" t="s">
        <v>116</v>
      </c>
      <c r="AD923" t="s">
        <v>193</v>
      </c>
      <c r="AF923">
        <v>2023</v>
      </c>
      <c r="AG923">
        <v>464</v>
      </c>
      <c r="AH923" t="str">
        <f t="shared" si="91"/>
        <v>1</v>
      </c>
      <c r="AI923" t="str">
        <f>"5230043634"</f>
        <v>5230043634</v>
      </c>
      <c r="AJ923" s="1">
        <v>44977</v>
      </c>
      <c r="AL923">
        <v>567.84</v>
      </c>
      <c r="AM923" t="str">
        <f>"9080007541"</f>
        <v>9080007541</v>
      </c>
      <c r="AN923">
        <v>2023</v>
      </c>
      <c r="AO923">
        <v>364</v>
      </c>
      <c r="AP923">
        <v>567.84</v>
      </c>
      <c r="AQ923">
        <v>0</v>
      </c>
      <c r="AR923" s="2">
        <v>7157.26</v>
      </c>
      <c r="AS923" t="s">
        <v>194</v>
      </c>
      <c r="AT923">
        <v>516.22</v>
      </c>
      <c r="AU923">
        <v>51.62</v>
      </c>
      <c r="AV923">
        <v>2023</v>
      </c>
      <c r="AW923">
        <v>242</v>
      </c>
      <c r="AX923">
        <v>670</v>
      </c>
      <c r="AY923">
        <v>0</v>
      </c>
      <c r="AZ923" t="s">
        <v>1693</v>
      </c>
      <c r="BA923">
        <v>567.84</v>
      </c>
      <c r="BB923" s="1">
        <v>45008</v>
      </c>
    </row>
    <row r="924" spans="1:54" x14ac:dyDescent="0.25">
      <c r="A924">
        <v>2023</v>
      </c>
      <c r="B924">
        <v>463</v>
      </c>
      <c r="C924" s="1">
        <v>45008</v>
      </c>
      <c r="D924">
        <v>2023</v>
      </c>
      <c r="E924">
        <v>2023</v>
      </c>
      <c r="F924">
        <v>14</v>
      </c>
      <c r="H924" t="s">
        <v>852</v>
      </c>
      <c r="I924">
        <v>130</v>
      </c>
      <c r="J924">
        <v>0</v>
      </c>
      <c r="K924" t="s">
        <v>128</v>
      </c>
      <c r="R924" t="s">
        <v>190</v>
      </c>
      <c r="S924" t="str">
        <f t="shared" si="92"/>
        <v>31</v>
      </c>
      <c r="T924" t="s">
        <v>122</v>
      </c>
      <c r="W924" t="s">
        <v>1692</v>
      </c>
      <c r="Y924">
        <v>3344</v>
      </c>
      <c r="Z924" t="s">
        <v>192</v>
      </c>
      <c r="AB924" t="str">
        <f t="shared" si="93"/>
        <v>02616630022</v>
      </c>
      <c r="AC924" t="s">
        <v>116</v>
      </c>
      <c r="AD924" t="s">
        <v>193</v>
      </c>
      <c r="AF924">
        <v>2023</v>
      </c>
      <c r="AG924">
        <v>465</v>
      </c>
      <c r="AH924" t="str">
        <f t="shared" si="91"/>
        <v>1</v>
      </c>
      <c r="AI924" t="str">
        <f>"5230043601"</f>
        <v>5230043601</v>
      </c>
      <c r="AJ924" s="1">
        <v>44977</v>
      </c>
      <c r="AL924">
        <v>386.25</v>
      </c>
      <c r="AM924" t="str">
        <f>"9080008753"</f>
        <v>9080008753</v>
      </c>
      <c r="AN924">
        <v>2023</v>
      </c>
      <c r="AO924">
        <v>364</v>
      </c>
      <c r="AP924">
        <v>386.25</v>
      </c>
      <c r="AQ924">
        <v>0</v>
      </c>
      <c r="AR924" s="2">
        <v>7157.26</v>
      </c>
      <c r="AS924" t="s">
        <v>194</v>
      </c>
      <c r="AT924">
        <v>351.14</v>
      </c>
      <c r="AU924">
        <v>35.11</v>
      </c>
      <c r="AV924">
        <v>2023</v>
      </c>
      <c r="AW924">
        <v>242</v>
      </c>
      <c r="AX924">
        <v>670</v>
      </c>
      <c r="AY924">
        <v>0</v>
      </c>
      <c r="AZ924" t="s">
        <v>1693</v>
      </c>
      <c r="BA924">
        <v>386.25</v>
      </c>
      <c r="BB924" s="1">
        <v>45008</v>
      </c>
    </row>
    <row r="925" spans="1:54" x14ac:dyDescent="0.25">
      <c r="A925">
        <v>2023</v>
      </c>
      <c r="B925">
        <v>463</v>
      </c>
      <c r="C925" s="1">
        <v>45008</v>
      </c>
      <c r="D925">
        <v>2023</v>
      </c>
      <c r="E925">
        <v>2023</v>
      </c>
      <c r="F925">
        <v>14</v>
      </c>
      <c r="H925" t="s">
        <v>852</v>
      </c>
      <c r="I925">
        <v>130</v>
      </c>
      <c r="J925">
        <v>0</v>
      </c>
      <c r="K925" t="s">
        <v>128</v>
      </c>
      <c r="R925" t="s">
        <v>190</v>
      </c>
      <c r="S925" t="str">
        <f t="shared" si="92"/>
        <v>31</v>
      </c>
      <c r="T925" t="s">
        <v>122</v>
      </c>
      <c r="W925" t="s">
        <v>1692</v>
      </c>
      <c r="Y925">
        <v>3344</v>
      </c>
      <c r="Z925" t="s">
        <v>192</v>
      </c>
      <c r="AB925" t="str">
        <f t="shared" si="93"/>
        <v>02616630022</v>
      </c>
      <c r="AC925" t="s">
        <v>116</v>
      </c>
      <c r="AD925" t="s">
        <v>193</v>
      </c>
      <c r="AF925">
        <v>2023</v>
      </c>
      <c r="AG925">
        <v>466</v>
      </c>
      <c r="AH925" t="str">
        <f t="shared" si="91"/>
        <v>1</v>
      </c>
      <c r="AI925" t="str">
        <f>"5230043644"</f>
        <v>5230043644</v>
      </c>
      <c r="AJ925" s="1">
        <v>44977</v>
      </c>
      <c r="AL925">
        <v>80.72</v>
      </c>
      <c r="AM925" t="str">
        <f>"9080009358"</f>
        <v>9080009358</v>
      </c>
      <c r="AN925">
        <v>2023</v>
      </c>
      <c r="AO925">
        <v>364</v>
      </c>
      <c r="AP925">
        <v>80.72</v>
      </c>
      <c r="AQ925">
        <v>0</v>
      </c>
      <c r="AR925" s="2">
        <v>7157.26</v>
      </c>
      <c r="AS925" t="s">
        <v>194</v>
      </c>
      <c r="AT925">
        <v>73.38</v>
      </c>
      <c r="AU925">
        <v>7.34</v>
      </c>
      <c r="AV925">
        <v>2023</v>
      </c>
      <c r="AW925">
        <v>242</v>
      </c>
      <c r="AX925">
        <v>670</v>
      </c>
      <c r="AY925">
        <v>0</v>
      </c>
      <c r="AZ925" t="s">
        <v>1693</v>
      </c>
      <c r="BA925">
        <v>80.72</v>
      </c>
      <c r="BB925" s="1">
        <v>45008</v>
      </c>
    </row>
    <row r="926" spans="1:54" x14ac:dyDescent="0.25">
      <c r="A926">
        <v>2023</v>
      </c>
      <c r="B926">
        <v>463</v>
      </c>
      <c r="C926" s="1">
        <v>45008</v>
      </c>
      <c r="D926">
        <v>2023</v>
      </c>
      <c r="E926">
        <v>2023</v>
      </c>
      <c r="F926">
        <v>14</v>
      </c>
      <c r="H926" t="s">
        <v>852</v>
      </c>
      <c r="I926">
        <v>130</v>
      </c>
      <c r="J926">
        <v>0</v>
      </c>
      <c r="K926" t="s">
        <v>128</v>
      </c>
      <c r="R926" t="s">
        <v>190</v>
      </c>
      <c r="S926" t="str">
        <f t="shared" si="92"/>
        <v>31</v>
      </c>
      <c r="T926" t="s">
        <v>122</v>
      </c>
      <c r="W926" t="s">
        <v>1692</v>
      </c>
      <c r="Y926">
        <v>3344</v>
      </c>
      <c r="Z926" t="s">
        <v>192</v>
      </c>
      <c r="AB926" t="str">
        <f t="shared" si="93"/>
        <v>02616630022</v>
      </c>
      <c r="AC926" t="s">
        <v>116</v>
      </c>
      <c r="AD926" t="s">
        <v>193</v>
      </c>
      <c r="AF926">
        <v>2023</v>
      </c>
      <c r="AG926">
        <v>469</v>
      </c>
      <c r="AH926" t="str">
        <f t="shared" si="91"/>
        <v>1</v>
      </c>
      <c r="AI926" t="str">
        <f>"5230043628"</f>
        <v>5230043628</v>
      </c>
      <c r="AJ926" s="1">
        <v>44977</v>
      </c>
      <c r="AL926">
        <v>944.64</v>
      </c>
      <c r="AM926" t="str">
        <f>"9079992868"</f>
        <v>9079992868</v>
      </c>
      <c r="AN926">
        <v>2023</v>
      </c>
      <c r="AO926">
        <v>364</v>
      </c>
      <c r="AP926">
        <v>944.64</v>
      </c>
      <c r="AQ926">
        <v>0</v>
      </c>
      <c r="AR926" s="2">
        <v>7157.26</v>
      </c>
      <c r="AS926" t="s">
        <v>194</v>
      </c>
      <c r="AT926">
        <v>858.76</v>
      </c>
      <c r="AU926">
        <v>85.88</v>
      </c>
      <c r="AV926">
        <v>2023</v>
      </c>
      <c r="AW926">
        <v>242</v>
      </c>
      <c r="AX926">
        <v>670</v>
      </c>
      <c r="AY926">
        <v>0</v>
      </c>
      <c r="AZ926" t="s">
        <v>1693</v>
      </c>
      <c r="BA926">
        <v>944.64</v>
      </c>
      <c r="BB926" s="1">
        <v>45008</v>
      </c>
    </row>
    <row r="927" spans="1:54" x14ac:dyDescent="0.25">
      <c r="A927">
        <v>2023</v>
      </c>
      <c r="B927">
        <v>463</v>
      </c>
      <c r="C927" s="1">
        <v>45008</v>
      </c>
      <c r="D927">
        <v>2023</v>
      </c>
      <c r="E927">
        <v>2023</v>
      </c>
      <c r="F927">
        <v>14</v>
      </c>
      <c r="H927" t="s">
        <v>852</v>
      </c>
      <c r="I927">
        <v>130</v>
      </c>
      <c r="J927">
        <v>0</v>
      </c>
      <c r="K927" t="s">
        <v>128</v>
      </c>
      <c r="R927" t="s">
        <v>190</v>
      </c>
      <c r="S927" t="str">
        <f t="shared" si="92"/>
        <v>31</v>
      </c>
      <c r="T927" t="s">
        <v>122</v>
      </c>
      <c r="W927" t="s">
        <v>1692</v>
      </c>
      <c r="Y927">
        <v>3344</v>
      </c>
      <c r="Z927" t="s">
        <v>192</v>
      </c>
      <c r="AB927" t="str">
        <f t="shared" si="93"/>
        <v>02616630022</v>
      </c>
      <c r="AC927" t="s">
        <v>116</v>
      </c>
      <c r="AD927" t="s">
        <v>193</v>
      </c>
      <c r="AF927">
        <v>2023</v>
      </c>
      <c r="AG927">
        <v>471</v>
      </c>
      <c r="AH927" t="str">
        <f t="shared" si="91"/>
        <v>1</v>
      </c>
      <c r="AI927" t="str">
        <f>"5230043521"</f>
        <v>5230043521</v>
      </c>
      <c r="AJ927" s="1">
        <v>44977</v>
      </c>
      <c r="AL927" s="2">
        <v>1897.03</v>
      </c>
      <c r="AM927" t="str">
        <f>"9080187641"</f>
        <v>9080187641</v>
      </c>
      <c r="AN927">
        <v>2023</v>
      </c>
      <c r="AO927">
        <v>364</v>
      </c>
      <c r="AP927" s="2">
        <v>1897.03</v>
      </c>
      <c r="AQ927">
        <v>0</v>
      </c>
      <c r="AR927" s="2">
        <v>7157.26</v>
      </c>
      <c r="AS927" t="s">
        <v>194</v>
      </c>
      <c r="AT927">
        <v>1724.57</v>
      </c>
      <c r="AU927">
        <v>172.46</v>
      </c>
      <c r="AV927">
        <v>2023</v>
      </c>
      <c r="AW927">
        <v>242</v>
      </c>
      <c r="AX927">
        <v>670</v>
      </c>
      <c r="AY927">
        <v>0</v>
      </c>
      <c r="AZ927" t="s">
        <v>1693</v>
      </c>
      <c r="BA927">
        <v>1897.03</v>
      </c>
      <c r="BB927" s="1">
        <v>45008</v>
      </c>
    </row>
    <row r="928" spans="1:54" x14ac:dyDescent="0.25">
      <c r="A928">
        <v>2023</v>
      </c>
      <c r="B928">
        <v>463</v>
      </c>
      <c r="C928" s="1">
        <v>45008</v>
      </c>
      <c r="D928">
        <v>2023</v>
      </c>
      <c r="E928">
        <v>2023</v>
      </c>
      <c r="F928">
        <v>14</v>
      </c>
      <c r="H928" t="s">
        <v>852</v>
      </c>
      <c r="I928">
        <v>130</v>
      </c>
      <c r="J928">
        <v>0</v>
      </c>
      <c r="K928" t="s">
        <v>128</v>
      </c>
      <c r="R928" t="s">
        <v>190</v>
      </c>
      <c r="S928" t="str">
        <f t="shared" si="92"/>
        <v>31</v>
      </c>
      <c r="T928" t="s">
        <v>122</v>
      </c>
      <c r="W928" t="s">
        <v>1692</v>
      </c>
      <c r="Y928">
        <v>3344</v>
      </c>
      <c r="Z928" t="s">
        <v>192</v>
      </c>
      <c r="AB928" t="str">
        <f t="shared" si="93"/>
        <v>02616630022</v>
      </c>
      <c r="AC928" t="s">
        <v>116</v>
      </c>
      <c r="AD928" t="s">
        <v>193</v>
      </c>
      <c r="AF928">
        <v>2023</v>
      </c>
      <c r="AG928">
        <v>472</v>
      </c>
      <c r="AH928" t="str">
        <f t="shared" si="91"/>
        <v>1</v>
      </c>
      <c r="AI928" t="str">
        <f>"5230043513"</f>
        <v>5230043513</v>
      </c>
      <c r="AJ928" s="1">
        <v>44977</v>
      </c>
      <c r="AL928" s="2">
        <v>1248.71</v>
      </c>
      <c r="AM928" t="str">
        <f>"9080186351"</f>
        <v>9080186351</v>
      </c>
      <c r="AN928">
        <v>2023</v>
      </c>
      <c r="AO928">
        <v>364</v>
      </c>
      <c r="AP928" s="2">
        <v>1248.71</v>
      </c>
      <c r="AQ928">
        <v>0</v>
      </c>
      <c r="AR928" s="2">
        <v>7157.26</v>
      </c>
      <c r="AS928" t="s">
        <v>194</v>
      </c>
      <c r="AT928">
        <v>1135.19</v>
      </c>
      <c r="AU928">
        <v>113.52</v>
      </c>
      <c r="AV928">
        <v>2023</v>
      </c>
      <c r="AW928">
        <v>242</v>
      </c>
      <c r="AX928">
        <v>670</v>
      </c>
      <c r="AY928">
        <v>0</v>
      </c>
      <c r="AZ928" t="s">
        <v>1693</v>
      </c>
      <c r="BA928">
        <v>1248.71</v>
      </c>
      <c r="BB928" s="1">
        <v>45008</v>
      </c>
    </row>
    <row r="929" spans="1:54" x14ac:dyDescent="0.25">
      <c r="A929">
        <v>2023</v>
      </c>
      <c r="B929">
        <v>463</v>
      </c>
      <c r="C929" s="1">
        <v>45008</v>
      </c>
      <c r="D929">
        <v>2023</v>
      </c>
      <c r="E929">
        <v>2023</v>
      </c>
      <c r="F929">
        <v>14</v>
      </c>
      <c r="H929" t="s">
        <v>852</v>
      </c>
      <c r="I929">
        <v>130</v>
      </c>
      <c r="J929">
        <v>0</v>
      </c>
      <c r="K929" t="s">
        <v>128</v>
      </c>
      <c r="R929" t="s">
        <v>190</v>
      </c>
      <c r="S929" t="str">
        <f t="shared" si="92"/>
        <v>31</v>
      </c>
      <c r="T929" t="s">
        <v>122</v>
      </c>
      <c r="W929" t="s">
        <v>1692</v>
      </c>
      <c r="Y929">
        <v>3344</v>
      </c>
      <c r="Z929" t="s">
        <v>192</v>
      </c>
      <c r="AB929" t="str">
        <f t="shared" si="93"/>
        <v>02616630022</v>
      </c>
      <c r="AC929" t="s">
        <v>116</v>
      </c>
      <c r="AD929" t="s">
        <v>193</v>
      </c>
      <c r="AF929">
        <v>2023</v>
      </c>
      <c r="AG929">
        <v>473</v>
      </c>
      <c r="AH929" t="str">
        <f t="shared" si="91"/>
        <v>1</v>
      </c>
      <c r="AI929" t="str">
        <f>"5230043641"</f>
        <v>5230043641</v>
      </c>
      <c r="AJ929" s="1">
        <v>44977</v>
      </c>
      <c r="AL929">
        <v>209.48</v>
      </c>
      <c r="AM929" t="str">
        <f>"9080007975"</f>
        <v>9080007975</v>
      </c>
      <c r="AN929">
        <v>2023</v>
      </c>
      <c r="AO929">
        <v>364</v>
      </c>
      <c r="AP929">
        <v>209.48</v>
      </c>
      <c r="AQ929">
        <v>0</v>
      </c>
      <c r="AR929" s="2">
        <v>7157.26</v>
      </c>
      <c r="AS929" t="s">
        <v>194</v>
      </c>
      <c r="AT929">
        <v>190.44</v>
      </c>
      <c r="AU929">
        <v>19.04</v>
      </c>
      <c r="AV929">
        <v>2023</v>
      </c>
      <c r="AW929">
        <v>242</v>
      </c>
      <c r="AX929">
        <v>670</v>
      </c>
      <c r="AY929">
        <v>0</v>
      </c>
      <c r="AZ929" t="s">
        <v>1693</v>
      </c>
      <c r="BA929">
        <v>209.48</v>
      </c>
      <c r="BB929" s="1">
        <v>45008</v>
      </c>
    </row>
    <row r="930" spans="1:54" x14ac:dyDescent="0.25">
      <c r="A930">
        <v>2023</v>
      </c>
      <c r="B930">
        <v>463</v>
      </c>
      <c r="C930" s="1">
        <v>45008</v>
      </c>
      <c r="D930">
        <v>2023</v>
      </c>
      <c r="E930">
        <v>2023</v>
      </c>
      <c r="F930">
        <v>14</v>
      </c>
      <c r="H930" t="s">
        <v>852</v>
      </c>
      <c r="I930">
        <v>130</v>
      </c>
      <c r="J930">
        <v>0</v>
      </c>
      <c r="K930" t="s">
        <v>128</v>
      </c>
      <c r="R930" t="s">
        <v>190</v>
      </c>
      <c r="S930" t="str">
        <f t="shared" si="92"/>
        <v>31</v>
      </c>
      <c r="T930" t="s">
        <v>122</v>
      </c>
      <c r="W930" t="s">
        <v>1692</v>
      </c>
      <c r="Y930">
        <v>3344</v>
      </c>
      <c r="Z930" t="s">
        <v>192</v>
      </c>
      <c r="AB930" t="str">
        <f t="shared" si="93"/>
        <v>02616630022</v>
      </c>
      <c r="AC930" t="s">
        <v>116</v>
      </c>
      <c r="AD930" t="s">
        <v>193</v>
      </c>
      <c r="AF930">
        <v>2023</v>
      </c>
      <c r="AG930">
        <v>474</v>
      </c>
      <c r="AH930" t="str">
        <f t="shared" si="91"/>
        <v>1</v>
      </c>
      <c r="AI930" t="str">
        <f>"5230043511"</f>
        <v>5230043511</v>
      </c>
      <c r="AJ930" s="1">
        <v>44977</v>
      </c>
      <c r="AL930">
        <v>647.52</v>
      </c>
      <c r="AM930" t="str">
        <f>"9080187944"</f>
        <v>9080187944</v>
      </c>
      <c r="AN930">
        <v>2023</v>
      </c>
      <c r="AO930">
        <v>364</v>
      </c>
      <c r="AP930">
        <v>647.52</v>
      </c>
      <c r="AQ930">
        <v>0</v>
      </c>
      <c r="AR930" s="2">
        <v>7157.26</v>
      </c>
      <c r="AS930" t="s">
        <v>194</v>
      </c>
      <c r="AT930">
        <v>588.65</v>
      </c>
      <c r="AU930">
        <v>58.87</v>
      </c>
      <c r="AV930">
        <v>2023</v>
      </c>
      <c r="AW930">
        <v>242</v>
      </c>
      <c r="AX930">
        <v>670</v>
      </c>
      <c r="AY930">
        <v>0</v>
      </c>
      <c r="AZ930" t="s">
        <v>1693</v>
      </c>
      <c r="BA930">
        <v>647.52</v>
      </c>
      <c r="BB930" s="1">
        <v>45008</v>
      </c>
    </row>
    <row r="931" spans="1:54" x14ac:dyDescent="0.25">
      <c r="A931">
        <v>2023</v>
      </c>
      <c r="B931">
        <v>463</v>
      </c>
      <c r="C931" s="1">
        <v>45008</v>
      </c>
      <c r="D931">
        <v>2023</v>
      </c>
      <c r="E931">
        <v>2023</v>
      </c>
      <c r="F931">
        <v>14</v>
      </c>
      <c r="H931" t="s">
        <v>852</v>
      </c>
      <c r="I931">
        <v>130</v>
      </c>
      <c r="J931">
        <v>0</v>
      </c>
      <c r="K931" t="s">
        <v>128</v>
      </c>
      <c r="R931" t="s">
        <v>190</v>
      </c>
      <c r="S931" t="str">
        <f t="shared" si="92"/>
        <v>31</v>
      </c>
      <c r="T931" t="s">
        <v>122</v>
      </c>
      <c r="W931" t="s">
        <v>1692</v>
      </c>
      <c r="Y931">
        <v>3344</v>
      </c>
      <c r="Z931" t="s">
        <v>192</v>
      </c>
      <c r="AB931" t="str">
        <f t="shared" si="93"/>
        <v>02616630022</v>
      </c>
      <c r="AC931" t="s">
        <v>116</v>
      </c>
      <c r="AD931" t="s">
        <v>193</v>
      </c>
      <c r="AF931">
        <v>2023</v>
      </c>
      <c r="AG931">
        <v>475</v>
      </c>
      <c r="AH931" t="str">
        <f t="shared" si="91"/>
        <v>1</v>
      </c>
      <c r="AI931" t="str">
        <f>"5230043533"</f>
        <v>5230043533</v>
      </c>
      <c r="AJ931" s="1">
        <v>44977</v>
      </c>
      <c r="AL931" s="2">
        <v>22057.51</v>
      </c>
      <c r="AM931" t="str">
        <f>"9080205208"</f>
        <v>9080205208</v>
      </c>
      <c r="AN931">
        <v>2023</v>
      </c>
      <c r="AO931">
        <v>364</v>
      </c>
      <c r="AP931" s="2">
        <v>22057.51</v>
      </c>
      <c r="AQ931">
        <v>0</v>
      </c>
      <c r="AR931" s="2">
        <v>7157.26</v>
      </c>
      <c r="AS931" t="s">
        <v>194</v>
      </c>
      <c r="AT931">
        <v>20052.28</v>
      </c>
      <c r="AU931">
        <v>2005.23</v>
      </c>
      <c r="AV931">
        <v>2023</v>
      </c>
      <c r="AW931">
        <v>242</v>
      </c>
      <c r="AX931">
        <v>670</v>
      </c>
      <c r="AY931">
        <v>0</v>
      </c>
      <c r="AZ931" t="s">
        <v>1693</v>
      </c>
      <c r="BA931">
        <v>22057.51</v>
      </c>
      <c r="BB931" s="1">
        <v>45008</v>
      </c>
    </row>
    <row r="932" spans="1:54" x14ac:dyDescent="0.25">
      <c r="A932">
        <v>2023</v>
      </c>
      <c r="B932">
        <v>463</v>
      </c>
      <c r="C932" s="1">
        <v>45008</v>
      </c>
      <c r="D932">
        <v>2023</v>
      </c>
      <c r="E932">
        <v>2023</v>
      </c>
      <c r="F932">
        <v>14</v>
      </c>
      <c r="H932" t="s">
        <v>852</v>
      </c>
      <c r="I932">
        <v>130</v>
      </c>
      <c r="J932">
        <v>0</v>
      </c>
      <c r="K932" t="s">
        <v>128</v>
      </c>
      <c r="R932" t="s">
        <v>190</v>
      </c>
      <c r="S932" t="str">
        <f t="shared" si="92"/>
        <v>31</v>
      </c>
      <c r="T932" t="s">
        <v>122</v>
      </c>
      <c r="W932" t="s">
        <v>1692</v>
      </c>
      <c r="Y932">
        <v>3344</v>
      </c>
      <c r="Z932" t="s">
        <v>192</v>
      </c>
      <c r="AB932" t="str">
        <f t="shared" si="93"/>
        <v>02616630022</v>
      </c>
      <c r="AC932" t="s">
        <v>116</v>
      </c>
      <c r="AD932" t="s">
        <v>193</v>
      </c>
      <c r="AF932">
        <v>2023</v>
      </c>
      <c r="AG932">
        <v>476</v>
      </c>
      <c r="AH932" t="str">
        <f t="shared" si="91"/>
        <v>1</v>
      </c>
      <c r="AI932" t="str">
        <f>"5230043577"</f>
        <v>5230043577</v>
      </c>
      <c r="AJ932" s="1">
        <v>44977</v>
      </c>
      <c r="AL932" s="2">
        <v>2994.07</v>
      </c>
      <c r="AM932" t="str">
        <f>"9080216760"</f>
        <v>9080216760</v>
      </c>
      <c r="AN932">
        <v>2023</v>
      </c>
      <c r="AO932">
        <v>364</v>
      </c>
      <c r="AP932" s="2">
        <v>2994.07</v>
      </c>
      <c r="AQ932">
        <v>0</v>
      </c>
      <c r="AR932" s="2">
        <v>7157.26</v>
      </c>
      <c r="AS932" t="s">
        <v>194</v>
      </c>
      <c r="AT932">
        <v>2721.88</v>
      </c>
      <c r="AU932">
        <v>272.19</v>
      </c>
      <c r="AV932">
        <v>2023</v>
      </c>
      <c r="AW932">
        <v>242</v>
      </c>
      <c r="AX932">
        <v>670</v>
      </c>
      <c r="AY932">
        <v>0</v>
      </c>
      <c r="AZ932" t="s">
        <v>1693</v>
      </c>
      <c r="BA932">
        <v>2994.07</v>
      </c>
      <c r="BB932" s="1">
        <v>45008</v>
      </c>
    </row>
    <row r="933" spans="1:54" x14ac:dyDescent="0.25">
      <c r="A933">
        <v>2023</v>
      </c>
      <c r="B933">
        <v>463</v>
      </c>
      <c r="C933" s="1">
        <v>45008</v>
      </c>
      <c r="D933">
        <v>2023</v>
      </c>
      <c r="E933">
        <v>2023</v>
      </c>
      <c r="F933">
        <v>14</v>
      </c>
      <c r="H933" t="s">
        <v>852</v>
      </c>
      <c r="I933">
        <v>130</v>
      </c>
      <c r="J933">
        <v>0</v>
      </c>
      <c r="K933" t="s">
        <v>128</v>
      </c>
      <c r="R933" t="s">
        <v>190</v>
      </c>
      <c r="S933" t="str">
        <f t="shared" si="92"/>
        <v>31</v>
      </c>
      <c r="T933" t="s">
        <v>122</v>
      </c>
      <c r="W933" t="s">
        <v>1692</v>
      </c>
      <c r="Y933">
        <v>3344</v>
      </c>
      <c r="Z933" t="s">
        <v>192</v>
      </c>
      <c r="AB933" t="str">
        <f t="shared" si="93"/>
        <v>02616630022</v>
      </c>
      <c r="AC933" t="s">
        <v>116</v>
      </c>
      <c r="AD933" t="s">
        <v>193</v>
      </c>
      <c r="AF933">
        <v>2023</v>
      </c>
      <c r="AG933">
        <v>478</v>
      </c>
      <c r="AH933" t="str">
        <f t="shared" si="91"/>
        <v>1</v>
      </c>
      <c r="AI933" t="str">
        <f>"5230043573"</f>
        <v>5230043573</v>
      </c>
      <c r="AJ933" s="1">
        <v>44977</v>
      </c>
      <c r="AL933" s="2">
        <v>1213.07</v>
      </c>
      <c r="AM933" t="str">
        <f>"9080227413"</f>
        <v>9080227413</v>
      </c>
      <c r="AN933">
        <v>2023</v>
      </c>
      <c r="AO933">
        <v>364</v>
      </c>
      <c r="AP933" s="2">
        <v>1213.07</v>
      </c>
      <c r="AQ933">
        <v>0</v>
      </c>
      <c r="AR933" s="2">
        <v>7157.26</v>
      </c>
      <c r="AS933" t="s">
        <v>194</v>
      </c>
      <c r="AT933">
        <v>1102.79</v>
      </c>
      <c r="AU933">
        <v>110.28</v>
      </c>
      <c r="AV933">
        <v>2023</v>
      </c>
      <c r="AW933">
        <v>242</v>
      </c>
      <c r="AX933">
        <v>670</v>
      </c>
      <c r="AY933">
        <v>0</v>
      </c>
      <c r="AZ933" t="s">
        <v>1693</v>
      </c>
      <c r="BA933">
        <v>1213.07</v>
      </c>
      <c r="BB933" s="1">
        <v>45008</v>
      </c>
    </row>
    <row r="934" spans="1:54" x14ac:dyDescent="0.25">
      <c r="A934">
        <v>2023</v>
      </c>
      <c r="B934">
        <v>463</v>
      </c>
      <c r="C934" s="1">
        <v>45008</v>
      </c>
      <c r="D934">
        <v>2023</v>
      </c>
      <c r="E934">
        <v>2023</v>
      </c>
      <c r="F934">
        <v>14</v>
      </c>
      <c r="H934" t="s">
        <v>852</v>
      </c>
      <c r="I934">
        <v>130</v>
      </c>
      <c r="J934">
        <v>0</v>
      </c>
      <c r="K934" t="s">
        <v>128</v>
      </c>
      <c r="R934" t="s">
        <v>190</v>
      </c>
      <c r="S934" t="str">
        <f t="shared" si="92"/>
        <v>31</v>
      </c>
      <c r="T934" t="s">
        <v>122</v>
      </c>
      <c r="W934" t="s">
        <v>1692</v>
      </c>
      <c r="Y934">
        <v>3344</v>
      </c>
      <c r="Z934" t="s">
        <v>192</v>
      </c>
      <c r="AB934" t="str">
        <f t="shared" si="93"/>
        <v>02616630022</v>
      </c>
      <c r="AC934" t="s">
        <v>116</v>
      </c>
      <c r="AD934" t="s">
        <v>193</v>
      </c>
      <c r="AF934">
        <v>2023</v>
      </c>
      <c r="AG934">
        <v>479</v>
      </c>
      <c r="AH934" t="str">
        <f t="shared" si="91"/>
        <v>1</v>
      </c>
      <c r="AI934" t="str">
        <f>"5230043551"</f>
        <v>5230043551</v>
      </c>
      <c r="AJ934" s="1">
        <v>44977</v>
      </c>
      <c r="AL934" s="2">
        <v>2470.56</v>
      </c>
      <c r="AM934" t="str">
        <f>"9080206613"</f>
        <v>9080206613</v>
      </c>
      <c r="AN934">
        <v>2023</v>
      </c>
      <c r="AO934">
        <v>364</v>
      </c>
      <c r="AP934" s="2">
        <v>2470.56</v>
      </c>
      <c r="AQ934">
        <v>0</v>
      </c>
      <c r="AR934" s="2">
        <v>7157.26</v>
      </c>
      <c r="AS934" t="s">
        <v>194</v>
      </c>
      <c r="AT934">
        <v>2245.96</v>
      </c>
      <c r="AU934">
        <v>224.6</v>
      </c>
      <c r="AV934">
        <v>2023</v>
      </c>
      <c r="AW934">
        <v>242</v>
      </c>
      <c r="AX934">
        <v>670</v>
      </c>
      <c r="AY934">
        <v>0</v>
      </c>
      <c r="AZ934" t="s">
        <v>1693</v>
      </c>
      <c r="BA934">
        <v>2470.56</v>
      </c>
      <c r="BB934" s="1">
        <v>45008</v>
      </c>
    </row>
    <row r="935" spans="1:54" x14ac:dyDescent="0.25">
      <c r="A935">
        <v>2023</v>
      </c>
      <c r="B935">
        <v>463</v>
      </c>
      <c r="C935" s="1">
        <v>45008</v>
      </c>
      <c r="D935">
        <v>2023</v>
      </c>
      <c r="E935">
        <v>2023</v>
      </c>
      <c r="F935">
        <v>14</v>
      </c>
      <c r="H935" t="s">
        <v>852</v>
      </c>
      <c r="I935">
        <v>130</v>
      </c>
      <c r="J935">
        <v>0</v>
      </c>
      <c r="K935" t="s">
        <v>128</v>
      </c>
      <c r="R935" t="s">
        <v>190</v>
      </c>
      <c r="S935" t="str">
        <f t="shared" si="92"/>
        <v>31</v>
      </c>
      <c r="T935" t="s">
        <v>122</v>
      </c>
      <c r="W935" t="s">
        <v>1692</v>
      </c>
      <c r="Y935">
        <v>3344</v>
      </c>
      <c r="Z935" t="s">
        <v>192</v>
      </c>
      <c r="AB935" t="str">
        <f t="shared" si="93"/>
        <v>02616630022</v>
      </c>
      <c r="AC935" t="s">
        <v>116</v>
      </c>
      <c r="AD935" t="s">
        <v>193</v>
      </c>
      <c r="AF935">
        <v>2023</v>
      </c>
      <c r="AG935">
        <v>481</v>
      </c>
      <c r="AH935" t="str">
        <f t="shared" si="91"/>
        <v>1</v>
      </c>
      <c r="AI935" t="str">
        <f>"5230043569"</f>
        <v>5230043569</v>
      </c>
      <c r="AJ935" s="1">
        <v>44977</v>
      </c>
      <c r="AL935">
        <v>32.729999999999997</v>
      </c>
      <c r="AM935" t="str">
        <f>"9080227910"</f>
        <v>9080227910</v>
      </c>
      <c r="AN935">
        <v>2023</v>
      </c>
      <c r="AO935">
        <v>364</v>
      </c>
      <c r="AP935">
        <v>32.729999999999997</v>
      </c>
      <c r="AQ935">
        <v>0</v>
      </c>
      <c r="AR935" s="2">
        <v>7157.26</v>
      </c>
      <c r="AS935" t="s">
        <v>194</v>
      </c>
      <c r="AT935">
        <v>29.75</v>
      </c>
      <c r="AU935">
        <v>2.98</v>
      </c>
      <c r="AV935">
        <v>2023</v>
      </c>
      <c r="AW935">
        <v>242</v>
      </c>
      <c r="AX935">
        <v>670</v>
      </c>
      <c r="AY935">
        <v>0</v>
      </c>
      <c r="AZ935" t="s">
        <v>1693</v>
      </c>
      <c r="BA935">
        <v>32.729999999999997</v>
      </c>
      <c r="BB935" s="1">
        <v>45008</v>
      </c>
    </row>
    <row r="936" spans="1:54" x14ac:dyDescent="0.25">
      <c r="A936">
        <v>2023</v>
      </c>
      <c r="B936">
        <v>463</v>
      </c>
      <c r="C936" s="1">
        <v>45008</v>
      </c>
      <c r="D936">
        <v>2023</v>
      </c>
      <c r="E936">
        <v>2023</v>
      </c>
      <c r="F936">
        <v>14</v>
      </c>
      <c r="H936" t="s">
        <v>852</v>
      </c>
      <c r="I936">
        <v>130</v>
      </c>
      <c r="J936">
        <v>0</v>
      </c>
      <c r="K936" t="s">
        <v>128</v>
      </c>
      <c r="R936" t="s">
        <v>190</v>
      </c>
      <c r="S936" t="str">
        <f t="shared" si="92"/>
        <v>31</v>
      </c>
      <c r="T936" t="s">
        <v>122</v>
      </c>
      <c r="W936" t="s">
        <v>1692</v>
      </c>
      <c r="Y936">
        <v>3344</v>
      </c>
      <c r="Z936" t="s">
        <v>192</v>
      </c>
      <c r="AB936" t="str">
        <f t="shared" si="93"/>
        <v>02616630022</v>
      </c>
      <c r="AC936" t="s">
        <v>116</v>
      </c>
      <c r="AD936" t="s">
        <v>193</v>
      </c>
      <c r="AF936">
        <v>2023</v>
      </c>
      <c r="AG936">
        <v>482</v>
      </c>
      <c r="AH936" t="str">
        <f t="shared" si="91"/>
        <v>1</v>
      </c>
      <c r="AI936" t="str">
        <f>"5230043532"</f>
        <v>5230043532</v>
      </c>
      <c r="AJ936" s="1">
        <v>44977</v>
      </c>
      <c r="AL936" s="2">
        <v>1744.05</v>
      </c>
      <c r="AM936" t="str">
        <f>"9080227834"</f>
        <v>9080227834</v>
      </c>
      <c r="AN936">
        <v>2023</v>
      </c>
      <c r="AO936">
        <v>364</v>
      </c>
      <c r="AP936" s="2">
        <v>1744.05</v>
      </c>
      <c r="AQ936">
        <v>0</v>
      </c>
      <c r="AR936" s="2">
        <v>7157.26</v>
      </c>
      <c r="AS936" t="s">
        <v>194</v>
      </c>
      <c r="AT936">
        <v>1585.5</v>
      </c>
      <c r="AU936">
        <v>158.55000000000001</v>
      </c>
      <c r="AV936">
        <v>2023</v>
      </c>
      <c r="AW936">
        <v>242</v>
      </c>
      <c r="AX936">
        <v>670</v>
      </c>
      <c r="AY936">
        <v>0</v>
      </c>
      <c r="AZ936" t="s">
        <v>1693</v>
      </c>
      <c r="BA936">
        <v>1744.05</v>
      </c>
      <c r="BB936" s="1">
        <v>45008</v>
      </c>
    </row>
    <row r="937" spans="1:54" x14ac:dyDescent="0.25">
      <c r="A937">
        <v>2023</v>
      </c>
      <c r="B937">
        <v>463</v>
      </c>
      <c r="C937" s="1">
        <v>45008</v>
      </c>
      <c r="D937">
        <v>2023</v>
      </c>
      <c r="E937">
        <v>2023</v>
      </c>
      <c r="F937">
        <v>14</v>
      </c>
      <c r="H937" t="s">
        <v>852</v>
      </c>
      <c r="I937">
        <v>130</v>
      </c>
      <c r="J937">
        <v>0</v>
      </c>
      <c r="K937" t="s">
        <v>128</v>
      </c>
      <c r="R937" t="s">
        <v>190</v>
      </c>
      <c r="S937" t="str">
        <f t="shared" si="92"/>
        <v>31</v>
      </c>
      <c r="T937" t="s">
        <v>122</v>
      </c>
      <c r="W937" t="s">
        <v>1692</v>
      </c>
      <c r="Y937">
        <v>3344</v>
      </c>
      <c r="Z937" t="s">
        <v>192</v>
      </c>
      <c r="AB937" t="str">
        <f t="shared" si="93"/>
        <v>02616630022</v>
      </c>
      <c r="AC937" t="s">
        <v>116</v>
      </c>
      <c r="AD937" t="s">
        <v>193</v>
      </c>
      <c r="AF937">
        <v>2023</v>
      </c>
      <c r="AG937">
        <v>483</v>
      </c>
      <c r="AH937" t="str">
        <f t="shared" si="91"/>
        <v>1</v>
      </c>
      <c r="AI937" t="str">
        <f>"5230043582"</f>
        <v>5230043582</v>
      </c>
      <c r="AJ937" s="1">
        <v>44977</v>
      </c>
      <c r="AL937">
        <v>4.24</v>
      </c>
      <c r="AM937" t="str">
        <f>"9080227940"</f>
        <v>9080227940</v>
      </c>
      <c r="AN937">
        <v>2023</v>
      </c>
      <c r="AO937">
        <v>364</v>
      </c>
      <c r="AP937">
        <v>4.24</v>
      </c>
      <c r="AQ937">
        <v>0</v>
      </c>
      <c r="AR937" s="2">
        <v>7157.26</v>
      </c>
      <c r="AS937" t="s">
        <v>194</v>
      </c>
      <c r="AT937">
        <v>3.85</v>
      </c>
      <c r="AU937">
        <v>0.39</v>
      </c>
      <c r="AV937">
        <v>2023</v>
      </c>
      <c r="AW937">
        <v>242</v>
      </c>
      <c r="AX937">
        <v>670</v>
      </c>
      <c r="AY937">
        <v>0</v>
      </c>
      <c r="AZ937" t="s">
        <v>1693</v>
      </c>
      <c r="BA937">
        <v>4.24</v>
      </c>
      <c r="BB937" s="1">
        <v>45008</v>
      </c>
    </row>
    <row r="938" spans="1:54" x14ac:dyDescent="0.25">
      <c r="A938">
        <v>2023</v>
      </c>
      <c r="B938">
        <v>463</v>
      </c>
      <c r="C938" s="1">
        <v>45008</v>
      </c>
      <c r="D938">
        <v>2023</v>
      </c>
      <c r="E938">
        <v>2023</v>
      </c>
      <c r="F938">
        <v>14</v>
      </c>
      <c r="H938" t="s">
        <v>852</v>
      </c>
      <c r="I938">
        <v>130</v>
      </c>
      <c r="J938">
        <v>0</v>
      </c>
      <c r="K938" t="s">
        <v>128</v>
      </c>
      <c r="R938" t="s">
        <v>190</v>
      </c>
      <c r="S938" t="str">
        <f t="shared" si="92"/>
        <v>31</v>
      </c>
      <c r="T938" t="s">
        <v>122</v>
      </c>
      <c r="W938" t="s">
        <v>1692</v>
      </c>
      <c r="Y938">
        <v>3344</v>
      </c>
      <c r="Z938" t="s">
        <v>192</v>
      </c>
      <c r="AB938" t="str">
        <f t="shared" si="93"/>
        <v>02616630022</v>
      </c>
      <c r="AC938" t="s">
        <v>116</v>
      </c>
      <c r="AD938" t="s">
        <v>193</v>
      </c>
      <c r="AF938">
        <v>2023</v>
      </c>
      <c r="AG938">
        <v>484</v>
      </c>
      <c r="AH938" t="str">
        <f t="shared" si="91"/>
        <v>1</v>
      </c>
      <c r="AI938" t="str">
        <f>"5230043564"</f>
        <v>5230043564</v>
      </c>
      <c r="AJ938" s="1">
        <v>44977</v>
      </c>
      <c r="AL938">
        <v>786.1</v>
      </c>
      <c r="AM938" t="str">
        <f>"9080228769"</f>
        <v>9080228769</v>
      </c>
      <c r="AN938">
        <v>2023</v>
      </c>
      <c r="AO938">
        <v>364</v>
      </c>
      <c r="AP938">
        <v>786.1</v>
      </c>
      <c r="AQ938">
        <v>0</v>
      </c>
      <c r="AR938" s="2">
        <v>7157.26</v>
      </c>
      <c r="AS938" t="s">
        <v>194</v>
      </c>
      <c r="AT938">
        <v>714.64</v>
      </c>
      <c r="AU938">
        <v>71.459999999999994</v>
      </c>
      <c r="AV938">
        <v>2023</v>
      </c>
      <c r="AW938">
        <v>242</v>
      </c>
      <c r="AX938">
        <v>670</v>
      </c>
      <c r="AY938">
        <v>0</v>
      </c>
      <c r="AZ938" t="s">
        <v>1693</v>
      </c>
      <c r="BA938">
        <v>786.1</v>
      </c>
      <c r="BB938" s="1">
        <v>45008</v>
      </c>
    </row>
    <row r="939" spans="1:54" x14ac:dyDescent="0.25">
      <c r="A939">
        <v>2023</v>
      </c>
      <c r="B939">
        <v>464</v>
      </c>
      <c r="C939" s="1">
        <v>45008</v>
      </c>
      <c r="D939">
        <v>2023</v>
      </c>
      <c r="E939">
        <v>2023</v>
      </c>
      <c r="F939">
        <v>14</v>
      </c>
      <c r="H939" t="s">
        <v>852</v>
      </c>
      <c r="I939">
        <v>130</v>
      </c>
      <c r="J939">
        <v>0</v>
      </c>
      <c r="K939" t="s">
        <v>128</v>
      </c>
      <c r="R939" t="s">
        <v>190</v>
      </c>
      <c r="S939" t="str">
        <f t="shared" si="92"/>
        <v>31</v>
      </c>
      <c r="T939" t="s">
        <v>122</v>
      </c>
      <c r="W939" t="s">
        <v>1692</v>
      </c>
      <c r="Y939">
        <v>3344</v>
      </c>
      <c r="Z939" t="s">
        <v>192</v>
      </c>
      <c r="AB939" t="str">
        <f t="shared" si="93"/>
        <v>02616630022</v>
      </c>
      <c r="AC939" t="s">
        <v>116</v>
      </c>
      <c r="AD939" t="s">
        <v>193</v>
      </c>
      <c r="AF939">
        <v>2023</v>
      </c>
      <c r="AG939">
        <v>500</v>
      </c>
      <c r="AH939" t="str">
        <f t="shared" ref="AH939:AH970" si="94">"1"</f>
        <v>1</v>
      </c>
      <c r="AI939" t="str">
        <f>"5230043550"</f>
        <v>5230043550</v>
      </c>
      <c r="AJ939" s="1">
        <v>44977</v>
      </c>
      <c r="AL939" s="2">
        <v>16990.14</v>
      </c>
      <c r="AM939" t="str">
        <f>"9080197653"</f>
        <v>9080197653</v>
      </c>
      <c r="AN939">
        <v>2023</v>
      </c>
      <c r="AO939">
        <v>364</v>
      </c>
      <c r="AP939" s="2">
        <v>16990.14</v>
      </c>
      <c r="AQ939">
        <v>0</v>
      </c>
      <c r="AR939" s="2">
        <v>22055.66</v>
      </c>
      <c r="AS939" t="s">
        <v>194</v>
      </c>
      <c r="AT939">
        <v>15445.58</v>
      </c>
      <c r="AU939">
        <v>1544.56</v>
      </c>
      <c r="AV939">
        <v>2023</v>
      </c>
      <c r="AW939">
        <v>243</v>
      </c>
      <c r="AX939">
        <v>670</v>
      </c>
      <c r="AY939">
        <v>0</v>
      </c>
      <c r="AZ939" t="s">
        <v>1694</v>
      </c>
      <c r="BA939">
        <v>16990.14</v>
      </c>
      <c r="BB939" s="1">
        <v>45008</v>
      </c>
    </row>
    <row r="940" spans="1:54" x14ac:dyDescent="0.25">
      <c r="A940">
        <v>2023</v>
      </c>
      <c r="B940">
        <v>464</v>
      </c>
      <c r="C940" s="1">
        <v>45008</v>
      </c>
      <c r="D940">
        <v>2023</v>
      </c>
      <c r="E940">
        <v>2023</v>
      </c>
      <c r="F940">
        <v>14</v>
      </c>
      <c r="H940" t="s">
        <v>852</v>
      </c>
      <c r="I940">
        <v>130</v>
      </c>
      <c r="J940">
        <v>0</v>
      </c>
      <c r="K940" t="s">
        <v>128</v>
      </c>
      <c r="R940" t="s">
        <v>190</v>
      </c>
      <c r="S940" t="str">
        <f t="shared" ref="S940:S971" si="95">"31"</f>
        <v>31</v>
      </c>
      <c r="T940" t="s">
        <v>122</v>
      </c>
      <c r="W940" t="s">
        <v>1692</v>
      </c>
      <c r="Y940">
        <v>3344</v>
      </c>
      <c r="Z940" t="s">
        <v>192</v>
      </c>
      <c r="AB940" t="str">
        <f t="shared" ref="AB940:AB971" si="96">"02616630022"</f>
        <v>02616630022</v>
      </c>
      <c r="AC940" t="s">
        <v>116</v>
      </c>
      <c r="AD940" t="s">
        <v>193</v>
      </c>
      <c r="AF940">
        <v>2023</v>
      </c>
      <c r="AG940">
        <v>486</v>
      </c>
      <c r="AH940" t="str">
        <f t="shared" si="94"/>
        <v>1</v>
      </c>
      <c r="AI940" t="str">
        <f>"5230043525"</f>
        <v>5230043525</v>
      </c>
      <c r="AJ940" s="1">
        <v>44977</v>
      </c>
      <c r="AL940">
        <v>9.8000000000000007</v>
      </c>
      <c r="AM940" t="str">
        <f>"9080222982"</f>
        <v>9080222982</v>
      </c>
      <c r="AN940">
        <v>2023</v>
      </c>
      <c r="AO940">
        <v>364</v>
      </c>
      <c r="AP940">
        <v>9.8000000000000007</v>
      </c>
      <c r="AQ940">
        <v>0</v>
      </c>
      <c r="AR940" s="2">
        <v>22055.66</v>
      </c>
      <c r="AS940" t="s">
        <v>194</v>
      </c>
      <c r="AT940">
        <v>8.91</v>
      </c>
      <c r="AU940">
        <v>0.89</v>
      </c>
      <c r="AV940">
        <v>2023</v>
      </c>
      <c r="AW940">
        <v>243</v>
      </c>
      <c r="AX940">
        <v>670</v>
      </c>
      <c r="AY940">
        <v>0</v>
      </c>
      <c r="AZ940" t="s">
        <v>1694</v>
      </c>
      <c r="BA940">
        <v>9.8000000000000007</v>
      </c>
      <c r="BB940" s="1">
        <v>45008</v>
      </c>
    </row>
    <row r="941" spans="1:54" x14ac:dyDescent="0.25">
      <c r="A941">
        <v>2023</v>
      </c>
      <c r="B941">
        <v>464</v>
      </c>
      <c r="C941" s="1">
        <v>45008</v>
      </c>
      <c r="D941">
        <v>2023</v>
      </c>
      <c r="E941">
        <v>2023</v>
      </c>
      <c r="F941">
        <v>14</v>
      </c>
      <c r="H941" t="s">
        <v>852</v>
      </c>
      <c r="I941">
        <v>130</v>
      </c>
      <c r="J941">
        <v>0</v>
      </c>
      <c r="K941" t="s">
        <v>128</v>
      </c>
      <c r="R941" t="s">
        <v>190</v>
      </c>
      <c r="S941" t="str">
        <f t="shared" si="95"/>
        <v>31</v>
      </c>
      <c r="T941" t="s">
        <v>122</v>
      </c>
      <c r="W941" t="s">
        <v>1692</v>
      </c>
      <c r="Y941">
        <v>3344</v>
      </c>
      <c r="Z941" t="s">
        <v>192</v>
      </c>
      <c r="AB941" t="str">
        <f t="shared" si="96"/>
        <v>02616630022</v>
      </c>
      <c r="AC941" t="s">
        <v>116</v>
      </c>
      <c r="AD941" t="s">
        <v>193</v>
      </c>
      <c r="AF941">
        <v>2023</v>
      </c>
      <c r="AG941">
        <v>487</v>
      </c>
      <c r="AH941" t="str">
        <f t="shared" si="94"/>
        <v>1</v>
      </c>
      <c r="AI941" t="str">
        <f>"5230043588"</f>
        <v>5230043588</v>
      </c>
      <c r="AJ941" s="1">
        <v>44977</v>
      </c>
      <c r="AL941">
        <v>25.86</v>
      </c>
      <c r="AM941" t="str">
        <f>"9080224274"</f>
        <v>9080224274</v>
      </c>
      <c r="AN941">
        <v>2023</v>
      </c>
      <c r="AO941">
        <v>364</v>
      </c>
      <c r="AP941">
        <v>25.86</v>
      </c>
      <c r="AQ941">
        <v>0</v>
      </c>
      <c r="AR941" s="2">
        <v>22055.66</v>
      </c>
      <c r="AS941" t="s">
        <v>194</v>
      </c>
      <c r="AT941">
        <v>23.51</v>
      </c>
      <c r="AU941">
        <v>2.35</v>
      </c>
      <c r="AV941">
        <v>2023</v>
      </c>
      <c r="AW941">
        <v>243</v>
      </c>
      <c r="AX941">
        <v>670</v>
      </c>
      <c r="AY941">
        <v>0</v>
      </c>
      <c r="AZ941" t="s">
        <v>1694</v>
      </c>
      <c r="BA941">
        <v>25.86</v>
      </c>
      <c r="BB941" s="1">
        <v>45008</v>
      </c>
    </row>
    <row r="942" spans="1:54" x14ac:dyDescent="0.25">
      <c r="A942">
        <v>2023</v>
      </c>
      <c r="B942">
        <v>464</v>
      </c>
      <c r="C942" s="1">
        <v>45008</v>
      </c>
      <c r="D942">
        <v>2023</v>
      </c>
      <c r="E942">
        <v>2023</v>
      </c>
      <c r="F942">
        <v>14</v>
      </c>
      <c r="H942" t="s">
        <v>852</v>
      </c>
      <c r="I942">
        <v>130</v>
      </c>
      <c r="J942">
        <v>0</v>
      </c>
      <c r="K942" t="s">
        <v>128</v>
      </c>
      <c r="R942" t="s">
        <v>190</v>
      </c>
      <c r="S942" t="str">
        <f t="shared" si="95"/>
        <v>31</v>
      </c>
      <c r="T942" t="s">
        <v>122</v>
      </c>
      <c r="W942" t="s">
        <v>1692</v>
      </c>
      <c r="Y942">
        <v>3344</v>
      </c>
      <c r="Z942" t="s">
        <v>192</v>
      </c>
      <c r="AB942" t="str">
        <f t="shared" si="96"/>
        <v>02616630022</v>
      </c>
      <c r="AC942" t="s">
        <v>116</v>
      </c>
      <c r="AD942" t="s">
        <v>193</v>
      </c>
      <c r="AF942">
        <v>2023</v>
      </c>
      <c r="AG942">
        <v>488</v>
      </c>
      <c r="AH942" t="str">
        <f t="shared" si="94"/>
        <v>1</v>
      </c>
      <c r="AI942" t="str">
        <f>"5230043547"</f>
        <v>5230043547</v>
      </c>
      <c r="AJ942" s="1">
        <v>44977</v>
      </c>
      <c r="AL942" s="2">
        <v>2019.78</v>
      </c>
      <c r="AM942" t="str">
        <f>"9080224566"</f>
        <v>9080224566</v>
      </c>
      <c r="AN942">
        <v>2023</v>
      </c>
      <c r="AO942">
        <v>364</v>
      </c>
      <c r="AP942" s="2">
        <v>2019.78</v>
      </c>
      <c r="AQ942">
        <v>0</v>
      </c>
      <c r="AR942" s="2">
        <v>22055.66</v>
      </c>
      <c r="AS942" t="s">
        <v>194</v>
      </c>
      <c r="AT942">
        <v>1836.16</v>
      </c>
      <c r="AU942">
        <v>183.62</v>
      </c>
      <c r="AV942">
        <v>2023</v>
      </c>
      <c r="AW942">
        <v>243</v>
      </c>
      <c r="AX942">
        <v>670</v>
      </c>
      <c r="AY942">
        <v>0</v>
      </c>
      <c r="AZ942" t="s">
        <v>1694</v>
      </c>
      <c r="BA942">
        <v>2019.78</v>
      </c>
      <c r="BB942" s="1">
        <v>45008</v>
      </c>
    </row>
    <row r="943" spans="1:54" x14ac:dyDescent="0.25">
      <c r="A943">
        <v>2023</v>
      </c>
      <c r="B943">
        <v>464</v>
      </c>
      <c r="C943" s="1">
        <v>45008</v>
      </c>
      <c r="D943">
        <v>2023</v>
      </c>
      <c r="E943">
        <v>2023</v>
      </c>
      <c r="F943">
        <v>14</v>
      </c>
      <c r="H943" t="s">
        <v>852</v>
      </c>
      <c r="I943">
        <v>130</v>
      </c>
      <c r="J943">
        <v>0</v>
      </c>
      <c r="K943" t="s">
        <v>128</v>
      </c>
      <c r="R943" t="s">
        <v>190</v>
      </c>
      <c r="S943" t="str">
        <f t="shared" si="95"/>
        <v>31</v>
      </c>
      <c r="T943" t="s">
        <v>122</v>
      </c>
      <c r="W943" t="s">
        <v>1692</v>
      </c>
      <c r="Y943">
        <v>3344</v>
      </c>
      <c r="Z943" t="s">
        <v>192</v>
      </c>
      <c r="AB943" t="str">
        <f t="shared" si="96"/>
        <v>02616630022</v>
      </c>
      <c r="AC943" t="s">
        <v>116</v>
      </c>
      <c r="AD943" t="s">
        <v>193</v>
      </c>
      <c r="AF943">
        <v>2023</v>
      </c>
      <c r="AG943">
        <v>489</v>
      </c>
      <c r="AH943" t="str">
        <f t="shared" si="94"/>
        <v>1</v>
      </c>
      <c r="AI943" t="str">
        <f>"5230043553"</f>
        <v>5230043553</v>
      </c>
      <c r="AJ943" s="1">
        <v>44977</v>
      </c>
      <c r="AL943">
        <v>31.2</v>
      </c>
      <c r="AM943" t="str">
        <f>"9080224344"</f>
        <v>9080224344</v>
      </c>
      <c r="AN943">
        <v>2023</v>
      </c>
      <c r="AO943">
        <v>364</v>
      </c>
      <c r="AP943">
        <v>31.2</v>
      </c>
      <c r="AQ943">
        <v>0</v>
      </c>
      <c r="AR943" s="2">
        <v>22055.66</v>
      </c>
      <c r="AS943" t="s">
        <v>194</v>
      </c>
      <c r="AT943">
        <v>28.36</v>
      </c>
      <c r="AU943">
        <v>2.84</v>
      </c>
      <c r="AV943">
        <v>2023</v>
      </c>
      <c r="AW943">
        <v>243</v>
      </c>
      <c r="AX943">
        <v>670</v>
      </c>
      <c r="AY943">
        <v>0</v>
      </c>
      <c r="AZ943" t="s">
        <v>1694</v>
      </c>
      <c r="BA943">
        <v>31.2</v>
      </c>
      <c r="BB943" s="1">
        <v>45008</v>
      </c>
    </row>
    <row r="944" spans="1:54" x14ac:dyDescent="0.25">
      <c r="A944">
        <v>2023</v>
      </c>
      <c r="B944">
        <v>464</v>
      </c>
      <c r="C944" s="1">
        <v>45008</v>
      </c>
      <c r="D944">
        <v>2023</v>
      </c>
      <c r="E944">
        <v>2023</v>
      </c>
      <c r="F944">
        <v>14</v>
      </c>
      <c r="H944" t="s">
        <v>852</v>
      </c>
      <c r="I944">
        <v>130</v>
      </c>
      <c r="J944">
        <v>0</v>
      </c>
      <c r="K944" t="s">
        <v>128</v>
      </c>
      <c r="R944" t="s">
        <v>190</v>
      </c>
      <c r="S944" t="str">
        <f t="shared" si="95"/>
        <v>31</v>
      </c>
      <c r="T944" t="s">
        <v>122</v>
      </c>
      <c r="W944" t="s">
        <v>1692</v>
      </c>
      <c r="Y944">
        <v>3344</v>
      </c>
      <c r="Z944" t="s">
        <v>192</v>
      </c>
      <c r="AB944" t="str">
        <f t="shared" si="96"/>
        <v>02616630022</v>
      </c>
      <c r="AC944" t="s">
        <v>116</v>
      </c>
      <c r="AD944" t="s">
        <v>193</v>
      </c>
      <c r="AF944">
        <v>2023</v>
      </c>
      <c r="AG944">
        <v>492</v>
      </c>
      <c r="AH944" t="str">
        <f t="shared" si="94"/>
        <v>1</v>
      </c>
      <c r="AI944" t="str">
        <f>"5230043563"</f>
        <v>5230043563</v>
      </c>
      <c r="AJ944" s="1">
        <v>44977</v>
      </c>
      <c r="AL944" s="2">
        <v>5289.23</v>
      </c>
      <c r="AM944" t="str">
        <f>"9080201624"</f>
        <v>9080201624</v>
      </c>
      <c r="AN944">
        <v>2023</v>
      </c>
      <c r="AO944">
        <v>364</v>
      </c>
      <c r="AP944" s="2">
        <v>5289.23</v>
      </c>
      <c r="AQ944">
        <v>0</v>
      </c>
      <c r="AR944" s="2">
        <v>22055.66</v>
      </c>
      <c r="AS944" t="s">
        <v>194</v>
      </c>
      <c r="AT944">
        <v>4808.3900000000003</v>
      </c>
      <c r="AU944">
        <v>480.84</v>
      </c>
      <c r="AV944">
        <v>2023</v>
      </c>
      <c r="AW944">
        <v>243</v>
      </c>
      <c r="AX944">
        <v>670</v>
      </c>
      <c r="AY944">
        <v>0</v>
      </c>
      <c r="AZ944" t="s">
        <v>1694</v>
      </c>
      <c r="BA944">
        <v>5289.23</v>
      </c>
      <c r="BB944" s="1">
        <v>45008</v>
      </c>
    </row>
    <row r="945" spans="1:54" x14ac:dyDescent="0.25">
      <c r="A945">
        <v>2023</v>
      </c>
      <c r="B945">
        <v>464</v>
      </c>
      <c r="C945" s="1">
        <v>45008</v>
      </c>
      <c r="D945">
        <v>2023</v>
      </c>
      <c r="E945">
        <v>2023</v>
      </c>
      <c r="F945">
        <v>14</v>
      </c>
      <c r="H945" t="s">
        <v>852</v>
      </c>
      <c r="I945">
        <v>130</v>
      </c>
      <c r="J945">
        <v>0</v>
      </c>
      <c r="K945" t="s">
        <v>128</v>
      </c>
      <c r="R945" t="s">
        <v>190</v>
      </c>
      <c r="S945" t="str">
        <f t="shared" si="95"/>
        <v>31</v>
      </c>
      <c r="T945" t="s">
        <v>122</v>
      </c>
      <c r="W945" t="s">
        <v>1692</v>
      </c>
      <c r="Y945">
        <v>3344</v>
      </c>
      <c r="Z945" t="s">
        <v>192</v>
      </c>
      <c r="AB945" t="str">
        <f t="shared" si="96"/>
        <v>02616630022</v>
      </c>
      <c r="AC945" t="s">
        <v>116</v>
      </c>
      <c r="AD945" t="s">
        <v>193</v>
      </c>
      <c r="AF945">
        <v>2023</v>
      </c>
      <c r="AG945">
        <v>494</v>
      </c>
      <c r="AH945" t="str">
        <f t="shared" si="94"/>
        <v>1</v>
      </c>
      <c r="AI945" t="str">
        <f>"5230043506"</f>
        <v>5230043506</v>
      </c>
      <c r="AJ945" s="1">
        <v>44977</v>
      </c>
      <c r="AL945" s="2">
        <v>3027.76</v>
      </c>
      <c r="AM945" t="str">
        <f>"9080267554"</f>
        <v>9080267554</v>
      </c>
      <c r="AN945">
        <v>2023</v>
      </c>
      <c r="AO945">
        <v>364</v>
      </c>
      <c r="AP945" s="2">
        <v>3027.76</v>
      </c>
      <c r="AQ945">
        <v>0</v>
      </c>
      <c r="AR945" s="2">
        <v>22055.66</v>
      </c>
      <c r="AS945" t="s">
        <v>194</v>
      </c>
      <c r="AT945">
        <v>2752.51</v>
      </c>
      <c r="AU945">
        <v>275.25</v>
      </c>
      <c r="AV945">
        <v>2023</v>
      </c>
      <c r="AW945">
        <v>243</v>
      </c>
      <c r="AX945">
        <v>670</v>
      </c>
      <c r="AY945">
        <v>0</v>
      </c>
      <c r="AZ945" t="s">
        <v>1694</v>
      </c>
      <c r="BA945">
        <v>3027.76</v>
      </c>
      <c r="BB945" s="1">
        <v>45008</v>
      </c>
    </row>
    <row r="946" spans="1:54" x14ac:dyDescent="0.25">
      <c r="A946">
        <v>2023</v>
      </c>
      <c r="B946">
        <v>464</v>
      </c>
      <c r="C946" s="1">
        <v>45008</v>
      </c>
      <c r="D946">
        <v>2023</v>
      </c>
      <c r="E946">
        <v>2023</v>
      </c>
      <c r="F946">
        <v>14</v>
      </c>
      <c r="H946" t="s">
        <v>852</v>
      </c>
      <c r="I946">
        <v>130</v>
      </c>
      <c r="J946">
        <v>0</v>
      </c>
      <c r="K946" t="s">
        <v>128</v>
      </c>
      <c r="R946" t="s">
        <v>190</v>
      </c>
      <c r="S946" t="str">
        <f t="shared" si="95"/>
        <v>31</v>
      </c>
      <c r="T946" t="s">
        <v>122</v>
      </c>
      <c r="W946" t="s">
        <v>1692</v>
      </c>
      <c r="Y946">
        <v>3344</v>
      </c>
      <c r="Z946" t="s">
        <v>192</v>
      </c>
      <c r="AB946" t="str">
        <f t="shared" si="96"/>
        <v>02616630022</v>
      </c>
      <c r="AC946" t="s">
        <v>116</v>
      </c>
      <c r="AD946" t="s">
        <v>193</v>
      </c>
      <c r="AF946">
        <v>2023</v>
      </c>
      <c r="AG946">
        <v>495</v>
      </c>
      <c r="AH946" t="str">
        <f t="shared" si="94"/>
        <v>1</v>
      </c>
      <c r="AI946" t="str">
        <f>"5230043649"</f>
        <v>5230043649</v>
      </c>
      <c r="AJ946" s="1">
        <v>44977</v>
      </c>
      <c r="AL946">
        <v>170.02</v>
      </c>
      <c r="AM946" t="str">
        <f>"9080007893"</f>
        <v>9080007893</v>
      </c>
      <c r="AN946">
        <v>2023</v>
      </c>
      <c r="AO946">
        <v>364</v>
      </c>
      <c r="AP946">
        <v>170.02</v>
      </c>
      <c r="AQ946">
        <v>0</v>
      </c>
      <c r="AR946" s="2">
        <v>22055.66</v>
      </c>
      <c r="AS946" t="s">
        <v>194</v>
      </c>
      <c r="AT946">
        <v>154.56</v>
      </c>
      <c r="AU946">
        <v>15.46</v>
      </c>
      <c r="AV946">
        <v>2023</v>
      </c>
      <c r="AW946">
        <v>243</v>
      </c>
      <c r="AX946">
        <v>670</v>
      </c>
      <c r="AY946">
        <v>0</v>
      </c>
      <c r="AZ946" t="s">
        <v>1694</v>
      </c>
      <c r="BA946">
        <v>170.02</v>
      </c>
      <c r="BB946" s="1">
        <v>45008</v>
      </c>
    </row>
    <row r="947" spans="1:54" x14ac:dyDescent="0.25">
      <c r="A947">
        <v>2023</v>
      </c>
      <c r="B947">
        <v>464</v>
      </c>
      <c r="C947" s="1">
        <v>45008</v>
      </c>
      <c r="D947">
        <v>2023</v>
      </c>
      <c r="E947">
        <v>2023</v>
      </c>
      <c r="F947">
        <v>14</v>
      </c>
      <c r="H947" t="s">
        <v>852</v>
      </c>
      <c r="I947">
        <v>130</v>
      </c>
      <c r="J947">
        <v>0</v>
      </c>
      <c r="K947" t="s">
        <v>128</v>
      </c>
      <c r="R947" t="s">
        <v>190</v>
      </c>
      <c r="S947" t="str">
        <f t="shared" si="95"/>
        <v>31</v>
      </c>
      <c r="T947" t="s">
        <v>122</v>
      </c>
      <c r="W947" t="s">
        <v>1692</v>
      </c>
      <c r="Y947">
        <v>3344</v>
      </c>
      <c r="Z947" t="s">
        <v>192</v>
      </c>
      <c r="AB947" t="str">
        <f t="shared" si="96"/>
        <v>02616630022</v>
      </c>
      <c r="AC947" t="s">
        <v>116</v>
      </c>
      <c r="AD947" t="s">
        <v>193</v>
      </c>
      <c r="AF947">
        <v>2023</v>
      </c>
      <c r="AG947">
        <v>496</v>
      </c>
      <c r="AH947" t="str">
        <f t="shared" si="94"/>
        <v>1</v>
      </c>
      <c r="AI947" t="str">
        <f>"5230043507"</f>
        <v>5230043507</v>
      </c>
      <c r="AJ947" s="1">
        <v>44977</v>
      </c>
      <c r="AL947" s="2">
        <v>6539.09</v>
      </c>
      <c r="AM947" t="str">
        <f>"9080272828"</f>
        <v>9080272828</v>
      </c>
      <c r="AN947">
        <v>2023</v>
      </c>
      <c r="AO947">
        <v>364</v>
      </c>
      <c r="AP947" s="2">
        <v>6539.09</v>
      </c>
      <c r="AQ947">
        <v>0</v>
      </c>
      <c r="AR947" s="2">
        <v>22055.66</v>
      </c>
      <c r="AS947" t="s">
        <v>194</v>
      </c>
      <c r="AT947">
        <v>5944.63</v>
      </c>
      <c r="AU947">
        <v>594.46</v>
      </c>
      <c r="AV947">
        <v>2023</v>
      </c>
      <c r="AW947">
        <v>243</v>
      </c>
      <c r="AX947">
        <v>670</v>
      </c>
      <c r="AY947">
        <v>0</v>
      </c>
      <c r="AZ947" t="s">
        <v>1694</v>
      </c>
      <c r="BA947">
        <v>6539.09</v>
      </c>
      <c r="BB947" s="1">
        <v>45008</v>
      </c>
    </row>
    <row r="948" spans="1:54" x14ac:dyDescent="0.25">
      <c r="A948">
        <v>2023</v>
      </c>
      <c r="B948">
        <v>464</v>
      </c>
      <c r="C948" s="1">
        <v>45008</v>
      </c>
      <c r="D948">
        <v>2023</v>
      </c>
      <c r="E948">
        <v>2023</v>
      </c>
      <c r="F948">
        <v>14</v>
      </c>
      <c r="H948" t="s">
        <v>852</v>
      </c>
      <c r="I948">
        <v>130</v>
      </c>
      <c r="J948">
        <v>0</v>
      </c>
      <c r="K948" t="s">
        <v>128</v>
      </c>
      <c r="R948" t="s">
        <v>190</v>
      </c>
      <c r="S948" t="str">
        <f t="shared" si="95"/>
        <v>31</v>
      </c>
      <c r="T948" t="s">
        <v>122</v>
      </c>
      <c r="W948" t="s">
        <v>1692</v>
      </c>
      <c r="Y948">
        <v>3344</v>
      </c>
      <c r="Z948" t="s">
        <v>192</v>
      </c>
      <c r="AB948" t="str">
        <f t="shared" si="96"/>
        <v>02616630022</v>
      </c>
      <c r="AC948" t="s">
        <v>116</v>
      </c>
      <c r="AD948" t="s">
        <v>193</v>
      </c>
      <c r="AF948">
        <v>2023</v>
      </c>
      <c r="AG948">
        <v>497</v>
      </c>
      <c r="AH948" t="str">
        <f t="shared" si="94"/>
        <v>1</v>
      </c>
      <c r="AI948" t="str">
        <f>"5230043648"</f>
        <v>5230043648</v>
      </c>
      <c r="AJ948" s="1">
        <v>44977</v>
      </c>
      <c r="AL948">
        <v>101.6</v>
      </c>
      <c r="AM948" t="str">
        <f>"9080008872"</f>
        <v>9080008872</v>
      </c>
      <c r="AN948">
        <v>2023</v>
      </c>
      <c r="AO948">
        <v>364</v>
      </c>
      <c r="AP948">
        <v>101.6</v>
      </c>
      <c r="AQ948">
        <v>0</v>
      </c>
      <c r="AR948" s="2">
        <v>22055.66</v>
      </c>
      <c r="AS948" t="s">
        <v>194</v>
      </c>
      <c r="AT948">
        <v>92.36</v>
      </c>
      <c r="AU948">
        <v>9.24</v>
      </c>
      <c r="AV948">
        <v>2023</v>
      </c>
      <c r="AW948">
        <v>243</v>
      </c>
      <c r="AX948">
        <v>670</v>
      </c>
      <c r="AY948">
        <v>0</v>
      </c>
      <c r="AZ948" t="s">
        <v>1694</v>
      </c>
      <c r="BA948">
        <v>101.6</v>
      </c>
      <c r="BB948" s="1">
        <v>45008</v>
      </c>
    </row>
    <row r="949" spans="1:54" x14ac:dyDescent="0.25">
      <c r="A949">
        <v>2023</v>
      </c>
      <c r="B949">
        <v>464</v>
      </c>
      <c r="C949" s="1">
        <v>45008</v>
      </c>
      <c r="D949">
        <v>2023</v>
      </c>
      <c r="E949">
        <v>2023</v>
      </c>
      <c r="F949">
        <v>14</v>
      </c>
      <c r="H949" t="s">
        <v>852</v>
      </c>
      <c r="I949">
        <v>130</v>
      </c>
      <c r="J949">
        <v>0</v>
      </c>
      <c r="K949" t="s">
        <v>128</v>
      </c>
      <c r="R949" t="s">
        <v>190</v>
      </c>
      <c r="S949" t="str">
        <f t="shared" si="95"/>
        <v>31</v>
      </c>
      <c r="T949" t="s">
        <v>122</v>
      </c>
      <c r="W949" t="s">
        <v>1692</v>
      </c>
      <c r="Y949">
        <v>3344</v>
      </c>
      <c r="Z949" t="s">
        <v>192</v>
      </c>
      <c r="AB949" t="str">
        <f t="shared" si="96"/>
        <v>02616630022</v>
      </c>
      <c r="AC949" t="s">
        <v>116</v>
      </c>
      <c r="AD949" t="s">
        <v>193</v>
      </c>
      <c r="AF949">
        <v>2023</v>
      </c>
      <c r="AG949">
        <v>498</v>
      </c>
      <c r="AH949" t="str">
        <f t="shared" si="94"/>
        <v>1</v>
      </c>
      <c r="AI949" t="str">
        <f>"5230043535"</f>
        <v>5230043535</v>
      </c>
      <c r="AJ949" s="1">
        <v>44977</v>
      </c>
      <c r="AL949">
        <v>853.45</v>
      </c>
      <c r="AM949" t="str">
        <f>"9080194632"</f>
        <v>9080194632</v>
      </c>
      <c r="AN949">
        <v>2023</v>
      </c>
      <c r="AO949">
        <v>364</v>
      </c>
      <c r="AP949">
        <v>853.45</v>
      </c>
      <c r="AQ949">
        <v>0</v>
      </c>
      <c r="AR949" s="2">
        <v>22055.66</v>
      </c>
      <c r="AS949" t="s">
        <v>194</v>
      </c>
      <c r="AT949">
        <v>775.86</v>
      </c>
      <c r="AU949">
        <v>77.59</v>
      </c>
      <c r="AV949">
        <v>2023</v>
      </c>
      <c r="AW949">
        <v>243</v>
      </c>
      <c r="AX949">
        <v>670</v>
      </c>
      <c r="AY949">
        <v>0</v>
      </c>
      <c r="AZ949" t="s">
        <v>1694</v>
      </c>
      <c r="BA949">
        <v>853.45</v>
      </c>
      <c r="BB949" s="1">
        <v>45008</v>
      </c>
    </row>
    <row r="950" spans="1:54" x14ac:dyDescent="0.25">
      <c r="A950">
        <v>2023</v>
      </c>
      <c r="B950">
        <v>464</v>
      </c>
      <c r="C950" s="1">
        <v>45008</v>
      </c>
      <c r="D950">
        <v>2023</v>
      </c>
      <c r="E950">
        <v>2023</v>
      </c>
      <c r="F950">
        <v>14</v>
      </c>
      <c r="H950" t="s">
        <v>852</v>
      </c>
      <c r="I950">
        <v>130</v>
      </c>
      <c r="J950">
        <v>0</v>
      </c>
      <c r="K950" t="s">
        <v>128</v>
      </c>
      <c r="R950" t="s">
        <v>190</v>
      </c>
      <c r="S950" t="str">
        <f t="shared" si="95"/>
        <v>31</v>
      </c>
      <c r="T950" t="s">
        <v>122</v>
      </c>
      <c r="W950" t="s">
        <v>1692</v>
      </c>
      <c r="Y950">
        <v>3344</v>
      </c>
      <c r="Z950" t="s">
        <v>192</v>
      </c>
      <c r="AB950" t="str">
        <f t="shared" si="96"/>
        <v>02616630022</v>
      </c>
      <c r="AC950" t="s">
        <v>116</v>
      </c>
      <c r="AD950" t="s">
        <v>193</v>
      </c>
      <c r="AF950">
        <v>2023</v>
      </c>
      <c r="AG950">
        <v>501</v>
      </c>
      <c r="AH950" t="str">
        <f t="shared" si="94"/>
        <v>1</v>
      </c>
      <c r="AI950" t="str">
        <f>"5230043589"</f>
        <v>5230043589</v>
      </c>
      <c r="AJ950" s="1">
        <v>44977</v>
      </c>
      <c r="AL950">
        <v>15.6</v>
      </c>
      <c r="AM950" t="str">
        <f>"9080199227"</f>
        <v>9080199227</v>
      </c>
      <c r="AN950">
        <v>2023</v>
      </c>
      <c r="AO950">
        <v>364</v>
      </c>
      <c r="AP950">
        <v>15.6</v>
      </c>
      <c r="AQ950">
        <v>0</v>
      </c>
      <c r="AR950" s="2">
        <v>22055.66</v>
      </c>
      <c r="AS950" t="s">
        <v>194</v>
      </c>
      <c r="AT950">
        <v>14.18</v>
      </c>
      <c r="AU950">
        <v>1.42</v>
      </c>
      <c r="AV950">
        <v>2023</v>
      </c>
      <c r="AW950">
        <v>243</v>
      </c>
      <c r="AX950">
        <v>670</v>
      </c>
      <c r="AY950">
        <v>0</v>
      </c>
      <c r="AZ950" t="s">
        <v>1694</v>
      </c>
      <c r="BA950">
        <v>15.6</v>
      </c>
      <c r="BB950" s="1">
        <v>45008</v>
      </c>
    </row>
    <row r="951" spans="1:54" x14ac:dyDescent="0.25">
      <c r="A951">
        <v>2023</v>
      </c>
      <c r="B951">
        <v>464</v>
      </c>
      <c r="C951" s="1">
        <v>45008</v>
      </c>
      <c r="D951">
        <v>2023</v>
      </c>
      <c r="E951">
        <v>2023</v>
      </c>
      <c r="F951">
        <v>14</v>
      </c>
      <c r="H951" t="s">
        <v>852</v>
      </c>
      <c r="I951">
        <v>130</v>
      </c>
      <c r="J951">
        <v>0</v>
      </c>
      <c r="K951" t="s">
        <v>128</v>
      </c>
      <c r="R951" t="s">
        <v>190</v>
      </c>
      <c r="S951" t="str">
        <f t="shared" si="95"/>
        <v>31</v>
      </c>
      <c r="T951" t="s">
        <v>122</v>
      </c>
      <c r="W951" t="s">
        <v>1692</v>
      </c>
      <c r="Y951">
        <v>3344</v>
      </c>
      <c r="Z951" t="s">
        <v>192</v>
      </c>
      <c r="AB951" t="str">
        <f t="shared" si="96"/>
        <v>02616630022</v>
      </c>
      <c r="AC951" t="s">
        <v>116</v>
      </c>
      <c r="AD951" t="s">
        <v>193</v>
      </c>
      <c r="AF951">
        <v>2023</v>
      </c>
      <c r="AG951">
        <v>503</v>
      </c>
      <c r="AH951" t="str">
        <f t="shared" si="94"/>
        <v>1</v>
      </c>
      <c r="AI951" t="str">
        <f>"5230043552"</f>
        <v>5230043552</v>
      </c>
      <c r="AJ951" s="1">
        <v>44977</v>
      </c>
      <c r="AL951" s="2">
        <v>5323.96</v>
      </c>
      <c r="AM951" t="str">
        <f>"9080197854"</f>
        <v>9080197854</v>
      </c>
      <c r="AN951">
        <v>2023</v>
      </c>
      <c r="AO951">
        <v>364</v>
      </c>
      <c r="AP951" s="2">
        <v>5323.96</v>
      </c>
      <c r="AQ951">
        <v>0</v>
      </c>
      <c r="AR951" s="2">
        <v>22055.66</v>
      </c>
      <c r="AS951" t="s">
        <v>194</v>
      </c>
      <c r="AT951">
        <v>4839.96</v>
      </c>
      <c r="AU951">
        <v>484</v>
      </c>
      <c r="AV951">
        <v>2023</v>
      </c>
      <c r="AW951">
        <v>243</v>
      </c>
      <c r="AX951">
        <v>670</v>
      </c>
      <c r="AY951">
        <v>0</v>
      </c>
      <c r="AZ951" t="s">
        <v>1694</v>
      </c>
      <c r="BA951">
        <v>5323.96</v>
      </c>
      <c r="BB951" s="1">
        <v>45008</v>
      </c>
    </row>
    <row r="952" spans="1:54" x14ac:dyDescent="0.25">
      <c r="A952">
        <v>2023</v>
      </c>
      <c r="B952">
        <v>464</v>
      </c>
      <c r="C952" s="1">
        <v>45008</v>
      </c>
      <c r="D952">
        <v>2023</v>
      </c>
      <c r="E952">
        <v>2023</v>
      </c>
      <c r="F952">
        <v>14</v>
      </c>
      <c r="H952" t="s">
        <v>852</v>
      </c>
      <c r="I952">
        <v>130</v>
      </c>
      <c r="J952">
        <v>0</v>
      </c>
      <c r="K952" t="s">
        <v>128</v>
      </c>
      <c r="R952" t="s">
        <v>190</v>
      </c>
      <c r="S952" t="str">
        <f t="shared" si="95"/>
        <v>31</v>
      </c>
      <c r="T952" t="s">
        <v>122</v>
      </c>
      <c r="W952" t="s">
        <v>1692</v>
      </c>
      <c r="Y952">
        <v>3344</v>
      </c>
      <c r="Z952" t="s">
        <v>192</v>
      </c>
      <c r="AB952" t="str">
        <f t="shared" si="96"/>
        <v>02616630022</v>
      </c>
      <c r="AC952" t="s">
        <v>116</v>
      </c>
      <c r="AD952" t="s">
        <v>193</v>
      </c>
      <c r="AF952">
        <v>2023</v>
      </c>
      <c r="AG952">
        <v>504</v>
      </c>
      <c r="AH952" t="str">
        <f t="shared" si="94"/>
        <v>1</v>
      </c>
      <c r="AI952" t="str">
        <f>"5230043593"</f>
        <v>5230043593</v>
      </c>
      <c r="AJ952" s="1">
        <v>44977</v>
      </c>
      <c r="AL952" s="2">
        <v>3647.63</v>
      </c>
      <c r="AM952" t="str">
        <f>"9080197556"</f>
        <v>9080197556</v>
      </c>
      <c r="AN952">
        <v>2023</v>
      </c>
      <c r="AO952">
        <v>364</v>
      </c>
      <c r="AP952" s="2">
        <v>3647.63</v>
      </c>
      <c r="AQ952">
        <v>0</v>
      </c>
      <c r="AR952" s="2">
        <v>22055.66</v>
      </c>
      <c r="AS952" t="s">
        <v>194</v>
      </c>
      <c r="AT952">
        <v>3316.03</v>
      </c>
      <c r="AU952">
        <v>331.6</v>
      </c>
      <c r="AV952">
        <v>2023</v>
      </c>
      <c r="AW952">
        <v>243</v>
      </c>
      <c r="AX952">
        <v>670</v>
      </c>
      <c r="AY952">
        <v>0</v>
      </c>
      <c r="AZ952" t="s">
        <v>1694</v>
      </c>
      <c r="BA952">
        <v>3647.63</v>
      </c>
      <c r="BB952" s="1">
        <v>45008</v>
      </c>
    </row>
    <row r="953" spans="1:54" x14ac:dyDescent="0.25">
      <c r="A953">
        <v>2023</v>
      </c>
      <c r="B953">
        <v>464</v>
      </c>
      <c r="C953" s="1">
        <v>45008</v>
      </c>
      <c r="D953">
        <v>2023</v>
      </c>
      <c r="E953">
        <v>2023</v>
      </c>
      <c r="F953">
        <v>14</v>
      </c>
      <c r="H953" t="s">
        <v>852</v>
      </c>
      <c r="I953">
        <v>130</v>
      </c>
      <c r="J953">
        <v>0</v>
      </c>
      <c r="K953" t="s">
        <v>128</v>
      </c>
      <c r="R953" t="s">
        <v>190</v>
      </c>
      <c r="S953" t="str">
        <f t="shared" si="95"/>
        <v>31</v>
      </c>
      <c r="T953" t="s">
        <v>122</v>
      </c>
      <c r="W953" t="s">
        <v>1692</v>
      </c>
      <c r="Y953">
        <v>3344</v>
      </c>
      <c r="Z953" t="s">
        <v>192</v>
      </c>
      <c r="AB953" t="str">
        <f t="shared" si="96"/>
        <v>02616630022</v>
      </c>
      <c r="AC953" t="s">
        <v>116</v>
      </c>
      <c r="AD953" t="s">
        <v>193</v>
      </c>
      <c r="AF953">
        <v>2023</v>
      </c>
      <c r="AG953">
        <v>505</v>
      </c>
      <c r="AH953" t="str">
        <f t="shared" si="94"/>
        <v>1</v>
      </c>
      <c r="AI953" t="str">
        <f>"5230043578"</f>
        <v>5230043578</v>
      </c>
      <c r="AJ953" s="1">
        <v>44977</v>
      </c>
      <c r="AL953">
        <v>939.64</v>
      </c>
      <c r="AM953" t="str">
        <f>"9080196862"</f>
        <v>9080196862</v>
      </c>
      <c r="AN953">
        <v>2023</v>
      </c>
      <c r="AO953">
        <v>364</v>
      </c>
      <c r="AP953">
        <v>939.64</v>
      </c>
      <c r="AQ953">
        <v>0</v>
      </c>
      <c r="AR953" s="2">
        <v>22055.66</v>
      </c>
      <c r="AS953" t="s">
        <v>194</v>
      </c>
      <c r="AT953">
        <v>854.22</v>
      </c>
      <c r="AU953">
        <v>85.42</v>
      </c>
      <c r="AV953">
        <v>2023</v>
      </c>
      <c r="AW953">
        <v>243</v>
      </c>
      <c r="AX953">
        <v>670</v>
      </c>
      <c r="AY953">
        <v>0</v>
      </c>
      <c r="AZ953" t="s">
        <v>1694</v>
      </c>
      <c r="BA953">
        <v>939.64</v>
      </c>
      <c r="BB953" s="1">
        <v>45008</v>
      </c>
    </row>
    <row r="954" spans="1:54" x14ac:dyDescent="0.25">
      <c r="A954">
        <v>2023</v>
      </c>
      <c r="B954">
        <v>464</v>
      </c>
      <c r="C954" s="1">
        <v>45008</v>
      </c>
      <c r="D954">
        <v>2023</v>
      </c>
      <c r="E954">
        <v>2023</v>
      </c>
      <c r="F954">
        <v>14</v>
      </c>
      <c r="H954" t="s">
        <v>852</v>
      </c>
      <c r="I954">
        <v>130</v>
      </c>
      <c r="J954">
        <v>0</v>
      </c>
      <c r="K954" t="s">
        <v>128</v>
      </c>
      <c r="R954" t="s">
        <v>190</v>
      </c>
      <c r="S954" t="str">
        <f t="shared" si="95"/>
        <v>31</v>
      </c>
      <c r="T954" t="s">
        <v>122</v>
      </c>
      <c r="W954" t="s">
        <v>1692</v>
      </c>
      <c r="Y954">
        <v>3344</v>
      </c>
      <c r="Z954" t="s">
        <v>192</v>
      </c>
      <c r="AB954" t="str">
        <f t="shared" si="96"/>
        <v>02616630022</v>
      </c>
      <c r="AC954" t="s">
        <v>116</v>
      </c>
      <c r="AD954" t="s">
        <v>193</v>
      </c>
      <c r="AF954">
        <v>2023</v>
      </c>
      <c r="AG954">
        <v>506</v>
      </c>
      <c r="AH954" t="str">
        <f t="shared" si="94"/>
        <v>1</v>
      </c>
      <c r="AI954" t="str">
        <f>"5230043572"</f>
        <v>5230043572</v>
      </c>
      <c r="AJ954" s="1">
        <v>44977</v>
      </c>
      <c r="AL954">
        <v>34.200000000000003</v>
      </c>
      <c r="AM954" t="str">
        <f>"9080195624"</f>
        <v>9080195624</v>
      </c>
      <c r="AN954">
        <v>2023</v>
      </c>
      <c r="AO954">
        <v>364</v>
      </c>
      <c r="AP954">
        <v>34.200000000000003</v>
      </c>
      <c r="AQ954">
        <v>0</v>
      </c>
      <c r="AR954" s="2">
        <v>22055.66</v>
      </c>
      <c r="AS954" t="s">
        <v>194</v>
      </c>
      <c r="AT954">
        <v>31.09</v>
      </c>
      <c r="AU954">
        <v>3.11</v>
      </c>
      <c r="AV954">
        <v>2023</v>
      </c>
      <c r="AW954">
        <v>243</v>
      </c>
      <c r="AX954">
        <v>670</v>
      </c>
      <c r="AY954">
        <v>0</v>
      </c>
      <c r="AZ954" t="s">
        <v>1694</v>
      </c>
      <c r="BA954">
        <v>34.200000000000003</v>
      </c>
      <c r="BB954" s="1">
        <v>45008</v>
      </c>
    </row>
    <row r="955" spans="1:54" x14ac:dyDescent="0.25">
      <c r="A955">
        <v>2023</v>
      </c>
      <c r="B955">
        <v>464</v>
      </c>
      <c r="C955" s="1">
        <v>45008</v>
      </c>
      <c r="D955">
        <v>2023</v>
      </c>
      <c r="E955">
        <v>2023</v>
      </c>
      <c r="F955">
        <v>14</v>
      </c>
      <c r="H955" t="s">
        <v>852</v>
      </c>
      <c r="I955">
        <v>130</v>
      </c>
      <c r="J955">
        <v>0</v>
      </c>
      <c r="K955" t="s">
        <v>128</v>
      </c>
      <c r="R955" t="s">
        <v>190</v>
      </c>
      <c r="S955" t="str">
        <f t="shared" si="95"/>
        <v>31</v>
      </c>
      <c r="T955" t="s">
        <v>122</v>
      </c>
      <c r="W955" t="s">
        <v>1692</v>
      </c>
      <c r="Y955">
        <v>3344</v>
      </c>
      <c r="Z955" t="s">
        <v>192</v>
      </c>
      <c r="AB955" t="str">
        <f t="shared" si="96"/>
        <v>02616630022</v>
      </c>
      <c r="AC955" t="s">
        <v>116</v>
      </c>
      <c r="AD955" t="s">
        <v>193</v>
      </c>
      <c r="AF955">
        <v>2023</v>
      </c>
      <c r="AG955">
        <v>508</v>
      </c>
      <c r="AH955" t="str">
        <f t="shared" si="94"/>
        <v>1</v>
      </c>
      <c r="AI955" t="str">
        <f>"5230043503"</f>
        <v>5230043503</v>
      </c>
      <c r="AJ955" s="1">
        <v>44977</v>
      </c>
      <c r="AL955" s="2">
        <v>6922.62</v>
      </c>
      <c r="AM955" t="str">
        <f>"9080187760"</f>
        <v>9080187760</v>
      </c>
      <c r="AN955">
        <v>2023</v>
      </c>
      <c r="AO955">
        <v>364</v>
      </c>
      <c r="AP955" s="2">
        <v>6922.62</v>
      </c>
      <c r="AQ955">
        <v>0</v>
      </c>
      <c r="AR955" s="2">
        <v>22055.66</v>
      </c>
      <c r="AS955" t="s">
        <v>194</v>
      </c>
      <c r="AT955">
        <v>6293.29</v>
      </c>
      <c r="AU955">
        <v>629.33000000000004</v>
      </c>
      <c r="AV955">
        <v>2023</v>
      </c>
      <c r="AW955">
        <v>243</v>
      </c>
      <c r="AX955">
        <v>670</v>
      </c>
      <c r="AY955">
        <v>0</v>
      </c>
      <c r="AZ955" t="s">
        <v>1694</v>
      </c>
      <c r="BA955">
        <v>6922.62</v>
      </c>
      <c r="BB955" s="1">
        <v>45008</v>
      </c>
    </row>
    <row r="956" spans="1:54" x14ac:dyDescent="0.25">
      <c r="A956">
        <v>2023</v>
      </c>
      <c r="B956">
        <v>464</v>
      </c>
      <c r="C956" s="1">
        <v>45008</v>
      </c>
      <c r="D956">
        <v>2023</v>
      </c>
      <c r="E956">
        <v>2023</v>
      </c>
      <c r="F956">
        <v>14</v>
      </c>
      <c r="H956" t="s">
        <v>852</v>
      </c>
      <c r="I956">
        <v>130</v>
      </c>
      <c r="J956">
        <v>0</v>
      </c>
      <c r="K956" t="s">
        <v>128</v>
      </c>
      <c r="R956" t="s">
        <v>190</v>
      </c>
      <c r="S956" t="str">
        <f t="shared" si="95"/>
        <v>31</v>
      </c>
      <c r="T956" t="s">
        <v>122</v>
      </c>
      <c r="W956" t="s">
        <v>1692</v>
      </c>
      <c r="Y956">
        <v>3344</v>
      </c>
      <c r="Z956" t="s">
        <v>192</v>
      </c>
      <c r="AB956" t="str">
        <f t="shared" si="96"/>
        <v>02616630022</v>
      </c>
      <c r="AC956" t="s">
        <v>116</v>
      </c>
      <c r="AD956" t="s">
        <v>193</v>
      </c>
      <c r="AF956">
        <v>2023</v>
      </c>
      <c r="AG956">
        <v>509</v>
      </c>
      <c r="AH956" t="str">
        <f t="shared" si="94"/>
        <v>1</v>
      </c>
      <c r="AI956" t="str">
        <f>"5230043639"</f>
        <v>5230043639</v>
      </c>
      <c r="AJ956" s="1">
        <v>44977</v>
      </c>
      <c r="AL956">
        <v>482.68</v>
      </c>
      <c r="AM956" t="str">
        <f>"9080006476"</f>
        <v>9080006476</v>
      </c>
      <c r="AN956">
        <v>2023</v>
      </c>
      <c r="AO956">
        <v>364</v>
      </c>
      <c r="AP956">
        <v>482.68</v>
      </c>
      <c r="AQ956">
        <v>0</v>
      </c>
      <c r="AR956" s="2">
        <v>22055.66</v>
      </c>
      <c r="AS956" t="s">
        <v>194</v>
      </c>
      <c r="AT956">
        <v>438.8</v>
      </c>
      <c r="AU956">
        <v>43.88</v>
      </c>
      <c r="AV956">
        <v>2023</v>
      </c>
      <c r="AW956">
        <v>243</v>
      </c>
      <c r="AX956">
        <v>670</v>
      </c>
      <c r="AY956">
        <v>0</v>
      </c>
      <c r="AZ956" t="s">
        <v>1694</v>
      </c>
      <c r="BA956">
        <v>482.68</v>
      </c>
      <c r="BB956" s="1">
        <v>45008</v>
      </c>
    </row>
    <row r="957" spans="1:54" x14ac:dyDescent="0.25">
      <c r="A957">
        <v>2023</v>
      </c>
      <c r="B957">
        <v>464</v>
      </c>
      <c r="C957" s="1">
        <v>45008</v>
      </c>
      <c r="D957">
        <v>2023</v>
      </c>
      <c r="E957">
        <v>2023</v>
      </c>
      <c r="F957">
        <v>14</v>
      </c>
      <c r="H957" t="s">
        <v>852</v>
      </c>
      <c r="I957">
        <v>130</v>
      </c>
      <c r="J957">
        <v>0</v>
      </c>
      <c r="K957" t="s">
        <v>128</v>
      </c>
      <c r="R957" t="s">
        <v>190</v>
      </c>
      <c r="S957" t="str">
        <f t="shared" si="95"/>
        <v>31</v>
      </c>
      <c r="T957" t="s">
        <v>122</v>
      </c>
      <c r="W957" t="s">
        <v>1692</v>
      </c>
      <c r="Y957">
        <v>3344</v>
      </c>
      <c r="Z957" t="s">
        <v>192</v>
      </c>
      <c r="AB957" t="str">
        <f t="shared" si="96"/>
        <v>02616630022</v>
      </c>
      <c r="AC957" t="s">
        <v>116</v>
      </c>
      <c r="AD957" t="s">
        <v>193</v>
      </c>
      <c r="AF957">
        <v>2023</v>
      </c>
      <c r="AG957">
        <v>510</v>
      </c>
      <c r="AH957" t="str">
        <f t="shared" si="94"/>
        <v>1</v>
      </c>
      <c r="AI957" t="str">
        <f>"5230043594"</f>
        <v>5230043594</v>
      </c>
      <c r="AJ957" s="1">
        <v>44977</v>
      </c>
      <c r="AL957" s="2">
        <v>6588.7</v>
      </c>
      <c r="AM957" t="str">
        <f>"9080216782"</f>
        <v>9080216782</v>
      </c>
      <c r="AN957">
        <v>2023</v>
      </c>
      <c r="AO957">
        <v>364</v>
      </c>
      <c r="AP957" s="2">
        <v>6588.7</v>
      </c>
      <c r="AQ957">
        <v>0</v>
      </c>
      <c r="AR957" s="2">
        <v>22055.66</v>
      </c>
      <c r="AS957" t="s">
        <v>194</v>
      </c>
      <c r="AT957">
        <v>5989.73</v>
      </c>
      <c r="AU957">
        <v>598.97</v>
      </c>
      <c r="AV957">
        <v>2023</v>
      </c>
      <c r="AW957">
        <v>243</v>
      </c>
      <c r="AX957">
        <v>670</v>
      </c>
      <c r="AY957">
        <v>0</v>
      </c>
      <c r="AZ957" t="s">
        <v>1694</v>
      </c>
      <c r="BA957">
        <v>6588.7</v>
      </c>
      <c r="BB957" s="1">
        <v>45008</v>
      </c>
    </row>
    <row r="958" spans="1:54" x14ac:dyDescent="0.25">
      <c r="A958">
        <v>2023</v>
      </c>
      <c r="B958">
        <v>464</v>
      </c>
      <c r="C958" s="1">
        <v>45008</v>
      </c>
      <c r="D958">
        <v>2023</v>
      </c>
      <c r="E958">
        <v>2023</v>
      </c>
      <c r="F958">
        <v>14</v>
      </c>
      <c r="H958" t="s">
        <v>852</v>
      </c>
      <c r="I958">
        <v>130</v>
      </c>
      <c r="J958">
        <v>0</v>
      </c>
      <c r="K958" t="s">
        <v>128</v>
      </c>
      <c r="R958" t="s">
        <v>190</v>
      </c>
      <c r="S958" t="str">
        <f t="shared" si="95"/>
        <v>31</v>
      </c>
      <c r="T958" t="s">
        <v>122</v>
      </c>
      <c r="W958" t="s">
        <v>1692</v>
      </c>
      <c r="Y958">
        <v>3344</v>
      </c>
      <c r="Z958" t="s">
        <v>192</v>
      </c>
      <c r="AB958" t="str">
        <f t="shared" si="96"/>
        <v>02616630022</v>
      </c>
      <c r="AC958" t="s">
        <v>116</v>
      </c>
      <c r="AD958" t="s">
        <v>193</v>
      </c>
      <c r="AF958">
        <v>2023</v>
      </c>
      <c r="AG958">
        <v>512</v>
      </c>
      <c r="AH958" t="str">
        <f t="shared" si="94"/>
        <v>1</v>
      </c>
      <c r="AI958" t="str">
        <f>"5230043615"</f>
        <v>5230043615</v>
      </c>
      <c r="AJ958" s="1">
        <v>44977</v>
      </c>
      <c r="AL958" s="2">
        <v>1328.87</v>
      </c>
      <c r="AM958" t="str">
        <f>"9080005179"</f>
        <v>9080005179</v>
      </c>
      <c r="AN958">
        <v>2023</v>
      </c>
      <c r="AO958">
        <v>364</v>
      </c>
      <c r="AP958" s="2">
        <v>1328.87</v>
      </c>
      <c r="AQ958">
        <v>0</v>
      </c>
      <c r="AR958" s="2">
        <v>22055.66</v>
      </c>
      <c r="AS958" t="s">
        <v>194</v>
      </c>
      <c r="AT958">
        <v>1208.06</v>
      </c>
      <c r="AU958">
        <v>120.81</v>
      </c>
      <c r="AV958">
        <v>2023</v>
      </c>
      <c r="AW958">
        <v>243</v>
      </c>
      <c r="AX958">
        <v>670</v>
      </c>
      <c r="AY958">
        <v>0</v>
      </c>
      <c r="AZ958" t="s">
        <v>1694</v>
      </c>
      <c r="BA958">
        <v>1328.87</v>
      </c>
      <c r="BB958" s="1">
        <v>45008</v>
      </c>
    </row>
    <row r="959" spans="1:54" x14ac:dyDescent="0.25">
      <c r="A959">
        <v>2023</v>
      </c>
      <c r="B959">
        <v>464</v>
      </c>
      <c r="C959" s="1">
        <v>45008</v>
      </c>
      <c r="D959">
        <v>2023</v>
      </c>
      <c r="E959">
        <v>2023</v>
      </c>
      <c r="F959">
        <v>14</v>
      </c>
      <c r="H959" t="s">
        <v>852</v>
      </c>
      <c r="I959">
        <v>130</v>
      </c>
      <c r="J959">
        <v>0</v>
      </c>
      <c r="K959" t="s">
        <v>128</v>
      </c>
      <c r="R959" t="s">
        <v>190</v>
      </c>
      <c r="S959" t="str">
        <f t="shared" si="95"/>
        <v>31</v>
      </c>
      <c r="T959" t="s">
        <v>122</v>
      </c>
      <c r="W959" t="s">
        <v>1692</v>
      </c>
      <c r="Y959">
        <v>3344</v>
      </c>
      <c r="Z959" t="s">
        <v>192</v>
      </c>
      <c r="AB959" t="str">
        <f t="shared" si="96"/>
        <v>02616630022</v>
      </c>
      <c r="AC959" t="s">
        <v>116</v>
      </c>
      <c r="AD959" t="s">
        <v>193</v>
      </c>
      <c r="AF959">
        <v>2023</v>
      </c>
      <c r="AG959">
        <v>513</v>
      </c>
      <c r="AH959" t="str">
        <f t="shared" si="94"/>
        <v>1</v>
      </c>
      <c r="AI959" t="str">
        <f>"5230043599"</f>
        <v>5230043599</v>
      </c>
      <c r="AJ959" s="1">
        <v>44977</v>
      </c>
      <c r="AL959">
        <v>12.43</v>
      </c>
      <c r="AM959" t="str">
        <f>"9080008475"</f>
        <v>9080008475</v>
      </c>
      <c r="AN959">
        <v>2023</v>
      </c>
      <c r="AO959">
        <v>364</v>
      </c>
      <c r="AP959">
        <v>12.43</v>
      </c>
      <c r="AQ959">
        <v>0</v>
      </c>
      <c r="AR959" s="2">
        <v>22055.66</v>
      </c>
      <c r="AS959" t="s">
        <v>194</v>
      </c>
      <c r="AT959">
        <v>11.3</v>
      </c>
      <c r="AU959">
        <v>1.1299999999999999</v>
      </c>
      <c r="AV959">
        <v>2023</v>
      </c>
      <c r="AW959">
        <v>243</v>
      </c>
      <c r="AX959">
        <v>670</v>
      </c>
      <c r="AY959">
        <v>0</v>
      </c>
      <c r="AZ959" t="s">
        <v>1694</v>
      </c>
      <c r="BA959">
        <v>12.43</v>
      </c>
      <c r="BB959" s="1">
        <v>45008</v>
      </c>
    </row>
    <row r="960" spans="1:54" x14ac:dyDescent="0.25">
      <c r="A960">
        <v>2023</v>
      </c>
      <c r="B960">
        <v>464</v>
      </c>
      <c r="C960" s="1">
        <v>45008</v>
      </c>
      <c r="D960">
        <v>2023</v>
      </c>
      <c r="E960">
        <v>2023</v>
      </c>
      <c r="F960">
        <v>14</v>
      </c>
      <c r="H960" t="s">
        <v>852</v>
      </c>
      <c r="I960">
        <v>130</v>
      </c>
      <c r="J960">
        <v>0</v>
      </c>
      <c r="K960" t="s">
        <v>128</v>
      </c>
      <c r="R960" t="s">
        <v>190</v>
      </c>
      <c r="S960" t="str">
        <f t="shared" si="95"/>
        <v>31</v>
      </c>
      <c r="T960" t="s">
        <v>122</v>
      </c>
      <c r="W960" t="s">
        <v>1692</v>
      </c>
      <c r="Y960">
        <v>3344</v>
      </c>
      <c r="Z960" t="s">
        <v>192</v>
      </c>
      <c r="AB960" t="str">
        <f t="shared" si="96"/>
        <v>02616630022</v>
      </c>
      <c r="AC960" t="s">
        <v>116</v>
      </c>
      <c r="AD960" t="s">
        <v>193</v>
      </c>
      <c r="AF960">
        <v>2023</v>
      </c>
      <c r="AG960">
        <v>514</v>
      </c>
      <c r="AH960" t="str">
        <f t="shared" si="94"/>
        <v>1</v>
      </c>
      <c r="AI960" t="str">
        <f>"5230043561"</f>
        <v>5230043561</v>
      </c>
      <c r="AJ960" s="1">
        <v>44977</v>
      </c>
      <c r="AL960">
        <v>45.32</v>
      </c>
      <c r="AM960" t="str">
        <f>"9080205906"</f>
        <v>9080205906</v>
      </c>
      <c r="AN960">
        <v>2023</v>
      </c>
      <c r="AO960">
        <v>364</v>
      </c>
      <c r="AP960">
        <v>45.32</v>
      </c>
      <c r="AQ960">
        <v>0</v>
      </c>
      <c r="AR960" s="2">
        <v>22055.66</v>
      </c>
      <c r="AS960" t="s">
        <v>177</v>
      </c>
      <c r="AT960">
        <v>37.15</v>
      </c>
      <c r="AU960">
        <v>8.17</v>
      </c>
      <c r="AV960">
        <v>2023</v>
      </c>
      <c r="AW960">
        <v>243</v>
      </c>
      <c r="AX960">
        <v>670</v>
      </c>
      <c r="AY960">
        <v>0</v>
      </c>
      <c r="AZ960" t="s">
        <v>1694</v>
      </c>
      <c r="BA960">
        <v>45.32</v>
      </c>
      <c r="BB960" s="1">
        <v>45008</v>
      </c>
    </row>
    <row r="961" spans="1:54" x14ac:dyDescent="0.25">
      <c r="A961">
        <v>2023</v>
      </c>
      <c r="B961">
        <v>464</v>
      </c>
      <c r="C961" s="1">
        <v>45008</v>
      </c>
      <c r="D961">
        <v>2023</v>
      </c>
      <c r="E961">
        <v>2023</v>
      </c>
      <c r="F961">
        <v>14</v>
      </c>
      <c r="H961" t="s">
        <v>852</v>
      </c>
      <c r="I961">
        <v>130</v>
      </c>
      <c r="J961">
        <v>0</v>
      </c>
      <c r="K961" t="s">
        <v>128</v>
      </c>
      <c r="R961" t="s">
        <v>190</v>
      </c>
      <c r="S961" t="str">
        <f t="shared" si="95"/>
        <v>31</v>
      </c>
      <c r="T961" t="s">
        <v>122</v>
      </c>
      <c r="W961" t="s">
        <v>1692</v>
      </c>
      <c r="Y961">
        <v>3344</v>
      </c>
      <c r="Z961" t="s">
        <v>192</v>
      </c>
      <c r="AB961" t="str">
        <f t="shared" si="96"/>
        <v>02616630022</v>
      </c>
      <c r="AC961" t="s">
        <v>116</v>
      </c>
      <c r="AD961" t="s">
        <v>193</v>
      </c>
      <c r="AF961">
        <v>2023</v>
      </c>
      <c r="AG961">
        <v>515</v>
      </c>
      <c r="AH961" t="str">
        <f t="shared" si="94"/>
        <v>1</v>
      </c>
      <c r="AI961" t="str">
        <f>"5230043559"</f>
        <v>5230043559</v>
      </c>
      <c r="AJ961" s="1">
        <v>44977</v>
      </c>
      <c r="AL961">
        <v>58.66</v>
      </c>
      <c r="AM961" t="str">
        <f>"9080206136"</f>
        <v>9080206136</v>
      </c>
      <c r="AN961">
        <v>2023</v>
      </c>
      <c r="AO961">
        <v>364</v>
      </c>
      <c r="AP961">
        <v>58.66</v>
      </c>
      <c r="AQ961">
        <v>0</v>
      </c>
      <c r="AR961" s="2">
        <v>22055.66</v>
      </c>
      <c r="AS961" t="s">
        <v>194</v>
      </c>
      <c r="AT961">
        <v>53.33</v>
      </c>
      <c r="AU961">
        <v>5.33</v>
      </c>
      <c r="AV961">
        <v>2023</v>
      </c>
      <c r="AW961">
        <v>243</v>
      </c>
      <c r="AX961">
        <v>670</v>
      </c>
      <c r="AY961">
        <v>0</v>
      </c>
      <c r="AZ961" t="s">
        <v>1694</v>
      </c>
      <c r="BA961">
        <v>58.66</v>
      </c>
      <c r="BB961" s="1">
        <v>45008</v>
      </c>
    </row>
    <row r="962" spans="1:54" x14ac:dyDescent="0.25">
      <c r="A962">
        <v>2023</v>
      </c>
      <c r="B962">
        <v>464</v>
      </c>
      <c r="C962" s="1">
        <v>45008</v>
      </c>
      <c r="D962">
        <v>2023</v>
      </c>
      <c r="E962">
        <v>2023</v>
      </c>
      <c r="F962">
        <v>14</v>
      </c>
      <c r="H962" t="s">
        <v>852</v>
      </c>
      <c r="I962">
        <v>130</v>
      </c>
      <c r="J962">
        <v>0</v>
      </c>
      <c r="K962" t="s">
        <v>128</v>
      </c>
      <c r="R962" t="s">
        <v>190</v>
      </c>
      <c r="S962" t="str">
        <f t="shared" si="95"/>
        <v>31</v>
      </c>
      <c r="T962" t="s">
        <v>122</v>
      </c>
      <c r="W962" t="s">
        <v>1692</v>
      </c>
      <c r="Y962">
        <v>3344</v>
      </c>
      <c r="Z962" t="s">
        <v>192</v>
      </c>
      <c r="AB962" t="str">
        <f t="shared" si="96"/>
        <v>02616630022</v>
      </c>
      <c r="AC962" t="s">
        <v>116</v>
      </c>
      <c r="AD962" t="s">
        <v>193</v>
      </c>
      <c r="AF962">
        <v>2023</v>
      </c>
      <c r="AG962">
        <v>517</v>
      </c>
      <c r="AH962" t="str">
        <f t="shared" si="94"/>
        <v>1</v>
      </c>
      <c r="AI962" t="str">
        <f>"5230043575"</f>
        <v>5230043575</v>
      </c>
      <c r="AJ962" s="1">
        <v>44977</v>
      </c>
      <c r="AL962" s="2">
        <v>3007.21</v>
      </c>
      <c r="AM962" t="str">
        <f>"9080205976"</f>
        <v>9080205976</v>
      </c>
      <c r="AN962">
        <v>2023</v>
      </c>
      <c r="AO962">
        <v>364</v>
      </c>
      <c r="AP962" s="2">
        <v>3007.21</v>
      </c>
      <c r="AQ962">
        <v>0</v>
      </c>
      <c r="AR962" s="2">
        <v>22055.66</v>
      </c>
      <c r="AS962" t="s">
        <v>194</v>
      </c>
      <c r="AT962">
        <v>2733.83</v>
      </c>
      <c r="AU962">
        <v>273.38</v>
      </c>
      <c r="AV962">
        <v>2023</v>
      </c>
      <c r="AW962">
        <v>243</v>
      </c>
      <c r="AX962">
        <v>670</v>
      </c>
      <c r="AY962">
        <v>0</v>
      </c>
      <c r="AZ962" t="s">
        <v>1694</v>
      </c>
      <c r="BA962">
        <v>3007.21</v>
      </c>
      <c r="BB962" s="1">
        <v>45008</v>
      </c>
    </row>
    <row r="963" spans="1:54" x14ac:dyDescent="0.25">
      <c r="A963">
        <v>2023</v>
      </c>
      <c r="B963">
        <v>464</v>
      </c>
      <c r="C963" s="1">
        <v>45008</v>
      </c>
      <c r="D963">
        <v>2023</v>
      </c>
      <c r="E963">
        <v>2023</v>
      </c>
      <c r="F963">
        <v>14</v>
      </c>
      <c r="H963" t="s">
        <v>852</v>
      </c>
      <c r="I963">
        <v>130</v>
      </c>
      <c r="J963">
        <v>0</v>
      </c>
      <c r="K963" t="s">
        <v>128</v>
      </c>
      <c r="R963" t="s">
        <v>190</v>
      </c>
      <c r="S963" t="str">
        <f t="shared" si="95"/>
        <v>31</v>
      </c>
      <c r="T963" t="s">
        <v>122</v>
      </c>
      <c r="W963" t="s">
        <v>1692</v>
      </c>
      <c r="Y963">
        <v>3344</v>
      </c>
      <c r="Z963" t="s">
        <v>192</v>
      </c>
      <c r="AB963" t="str">
        <f t="shared" si="96"/>
        <v>02616630022</v>
      </c>
      <c r="AC963" t="s">
        <v>116</v>
      </c>
      <c r="AD963" t="s">
        <v>193</v>
      </c>
      <c r="AF963">
        <v>2023</v>
      </c>
      <c r="AG963">
        <v>522</v>
      </c>
      <c r="AH963" t="str">
        <f t="shared" si="94"/>
        <v>1</v>
      </c>
      <c r="AI963" t="str">
        <f>"5230043534"</f>
        <v>5230043534</v>
      </c>
      <c r="AJ963" s="1">
        <v>44977</v>
      </c>
      <c r="AL963" s="2">
        <v>11339.14</v>
      </c>
      <c r="AM963" t="str">
        <f>"9080227671"</f>
        <v>9080227671</v>
      </c>
      <c r="AN963">
        <v>2023</v>
      </c>
      <c r="AO963">
        <v>364</v>
      </c>
      <c r="AP963" s="2">
        <v>11339.14</v>
      </c>
      <c r="AQ963">
        <v>0</v>
      </c>
      <c r="AR963" s="2">
        <v>22055.66</v>
      </c>
      <c r="AS963" t="s">
        <v>194</v>
      </c>
      <c r="AT963">
        <v>10308.31</v>
      </c>
      <c r="AU963">
        <v>1030.83</v>
      </c>
      <c r="AV963">
        <v>2023</v>
      </c>
      <c r="AW963">
        <v>243</v>
      </c>
      <c r="AX963">
        <v>670</v>
      </c>
      <c r="AY963">
        <v>0</v>
      </c>
      <c r="AZ963" t="s">
        <v>1694</v>
      </c>
      <c r="BA963">
        <v>11339.14</v>
      </c>
      <c r="BB963" s="1">
        <v>45008</v>
      </c>
    </row>
    <row r="964" spans="1:54" x14ac:dyDescent="0.25">
      <c r="A964">
        <v>2023</v>
      </c>
      <c r="B964">
        <v>464</v>
      </c>
      <c r="C964" s="1">
        <v>45008</v>
      </c>
      <c r="D964">
        <v>2023</v>
      </c>
      <c r="E964">
        <v>2023</v>
      </c>
      <c r="F964">
        <v>14</v>
      </c>
      <c r="H964" t="s">
        <v>852</v>
      </c>
      <c r="I964">
        <v>130</v>
      </c>
      <c r="J964">
        <v>0</v>
      </c>
      <c r="K964" t="s">
        <v>128</v>
      </c>
      <c r="R964" t="s">
        <v>190</v>
      </c>
      <c r="S964" t="str">
        <f t="shared" si="95"/>
        <v>31</v>
      </c>
      <c r="T964" t="s">
        <v>122</v>
      </c>
      <c r="W964" t="s">
        <v>1692</v>
      </c>
      <c r="Y964">
        <v>3344</v>
      </c>
      <c r="Z964" t="s">
        <v>192</v>
      </c>
      <c r="AB964" t="str">
        <f t="shared" si="96"/>
        <v>02616630022</v>
      </c>
      <c r="AC964" t="s">
        <v>116</v>
      </c>
      <c r="AD964" t="s">
        <v>193</v>
      </c>
      <c r="AF964">
        <v>2023</v>
      </c>
      <c r="AG964">
        <v>523</v>
      </c>
      <c r="AH964" t="str">
        <f t="shared" si="94"/>
        <v>1</v>
      </c>
      <c r="AI964" t="str">
        <f>"5230043631"</f>
        <v>5230043631</v>
      </c>
      <c r="AJ964" s="1">
        <v>44977</v>
      </c>
      <c r="AL964" s="2">
        <v>6035.96</v>
      </c>
      <c r="AM964" t="str">
        <f>"9080005984"</f>
        <v>9080005984</v>
      </c>
      <c r="AN964">
        <v>2023</v>
      </c>
      <c r="AO964">
        <v>364</v>
      </c>
      <c r="AP964" s="2">
        <v>6035.96</v>
      </c>
      <c r="AQ964">
        <v>0</v>
      </c>
      <c r="AR964" s="2">
        <v>22055.66</v>
      </c>
      <c r="AS964" t="s">
        <v>194</v>
      </c>
      <c r="AT964">
        <v>5487.24</v>
      </c>
      <c r="AU964">
        <v>548.72</v>
      </c>
      <c r="AV964">
        <v>2023</v>
      </c>
      <c r="AW964">
        <v>243</v>
      </c>
      <c r="AX964">
        <v>670</v>
      </c>
      <c r="AY964">
        <v>0</v>
      </c>
      <c r="AZ964" t="s">
        <v>1694</v>
      </c>
      <c r="BA964">
        <v>6035.96</v>
      </c>
      <c r="BB964" s="1">
        <v>45008</v>
      </c>
    </row>
    <row r="965" spans="1:54" x14ac:dyDescent="0.25">
      <c r="A965">
        <v>2023</v>
      </c>
      <c r="B965">
        <v>464</v>
      </c>
      <c r="C965" s="1">
        <v>45008</v>
      </c>
      <c r="D965">
        <v>2023</v>
      </c>
      <c r="E965">
        <v>2023</v>
      </c>
      <c r="F965">
        <v>14</v>
      </c>
      <c r="H965" t="s">
        <v>852</v>
      </c>
      <c r="I965">
        <v>130</v>
      </c>
      <c r="J965">
        <v>0</v>
      </c>
      <c r="K965" t="s">
        <v>128</v>
      </c>
      <c r="R965" t="s">
        <v>190</v>
      </c>
      <c r="S965" t="str">
        <f t="shared" si="95"/>
        <v>31</v>
      </c>
      <c r="T965" t="s">
        <v>122</v>
      </c>
      <c r="W965" t="s">
        <v>1692</v>
      </c>
      <c r="Y965">
        <v>3344</v>
      </c>
      <c r="Z965" t="s">
        <v>192</v>
      </c>
      <c r="AB965" t="str">
        <f t="shared" si="96"/>
        <v>02616630022</v>
      </c>
      <c r="AC965" t="s">
        <v>116</v>
      </c>
      <c r="AD965" t="s">
        <v>193</v>
      </c>
      <c r="AF965">
        <v>2023</v>
      </c>
      <c r="AG965">
        <v>525</v>
      </c>
      <c r="AH965" t="str">
        <f t="shared" si="94"/>
        <v>1</v>
      </c>
      <c r="AI965" t="str">
        <f>"5230043580"</f>
        <v>5230043580</v>
      </c>
      <c r="AJ965" s="1">
        <v>44977</v>
      </c>
      <c r="AL965">
        <v>18.96</v>
      </c>
      <c r="AM965" t="str">
        <f>"9080228441"</f>
        <v>9080228441</v>
      </c>
      <c r="AN965">
        <v>2023</v>
      </c>
      <c r="AO965">
        <v>364</v>
      </c>
      <c r="AP965">
        <v>18.96</v>
      </c>
      <c r="AQ965">
        <v>0</v>
      </c>
      <c r="AR965" s="2">
        <v>22055.66</v>
      </c>
      <c r="AS965" t="s">
        <v>194</v>
      </c>
      <c r="AT965">
        <v>17.239999999999998</v>
      </c>
      <c r="AU965">
        <v>1.72</v>
      </c>
      <c r="AV965">
        <v>2023</v>
      </c>
      <c r="AW965">
        <v>243</v>
      </c>
      <c r="AX965">
        <v>670</v>
      </c>
      <c r="AY965">
        <v>0</v>
      </c>
      <c r="AZ965" t="s">
        <v>1694</v>
      </c>
      <c r="BA965">
        <v>18.96</v>
      </c>
      <c r="BB965" s="1">
        <v>45008</v>
      </c>
    </row>
    <row r="966" spans="1:54" x14ac:dyDescent="0.25">
      <c r="A966">
        <v>2023</v>
      </c>
      <c r="B966">
        <v>464</v>
      </c>
      <c r="C966" s="1">
        <v>45008</v>
      </c>
      <c r="D966">
        <v>2023</v>
      </c>
      <c r="E966">
        <v>2023</v>
      </c>
      <c r="F966">
        <v>14</v>
      </c>
      <c r="H966" t="s">
        <v>852</v>
      </c>
      <c r="I966">
        <v>130</v>
      </c>
      <c r="J966">
        <v>0</v>
      </c>
      <c r="K966" t="s">
        <v>128</v>
      </c>
      <c r="R966" t="s">
        <v>190</v>
      </c>
      <c r="S966" t="str">
        <f t="shared" si="95"/>
        <v>31</v>
      </c>
      <c r="T966" t="s">
        <v>122</v>
      </c>
      <c r="W966" t="s">
        <v>1692</v>
      </c>
      <c r="Y966">
        <v>3344</v>
      </c>
      <c r="Z966" t="s">
        <v>192</v>
      </c>
      <c r="AB966" t="str">
        <f t="shared" si="96"/>
        <v>02616630022</v>
      </c>
      <c r="AC966" t="s">
        <v>116</v>
      </c>
      <c r="AD966" t="s">
        <v>193</v>
      </c>
      <c r="AF966">
        <v>2023</v>
      </c>
      <c r="AG966">
        <v>527</v>
      </c>
      <c r="AH966" t="str">
        <f t="shared" si="94"/>
        <v>1</v>
      </c>
      <c r="AI966" t="str">
        <f>"5230043632"</f>
        <v>5230043632</v>
      </c>
      <c r="AJ966" s="1">
        <v>44977</v>
      </c>
      <c r="AL966" s="2">
        <v>1121.31</v>
      </c>
      <c r="AM966" t="str">
        <f>"9080010286"</f>
        <v>9080010286</v>
      </c>
      <c r="AN966">
        <v>2023</v>
      </c>
      <c r="AO966">
        <v>364</v>
      </c>
      <c r="AP966" s="2">
        <v>1121.31</v>
      </c>
      <c r="AQ966">
        <v>0</v>
      </c>
      <c r="AR966" s="2">
        <v>22055.66</v>
      </c>
      <c r="AS966" t="s">
        <v>194</v>
      </c>
      <c r="AT966">
        <v>1019.37</v>
      </c>
      <c r="AU966">
        <v>101.94</v>
      </c>
      <c r="AV966">
        <v>2023</v>
      </c>
      <c r="AW966">
        <v>243</v>
      </c>
      <c r="AX966">
        <v>670</v>
      </c>
      <c r="AY966">
        <v>0</v>
      </c>
      <c r="AZ966" t="s">
        <v>1694</v>
      </c>
      <c r="BA966">
        <v>1121.31</v>
      </c>
      <c r="BB966" s="1">
        <v>45008</v>
      </c>
    </row>
    <row r="967" spans="1:54" x14ac:dyDescent="0.25">
      <c r="A967">
        <v>2023</v>
      </c>
      <c r="B967">
        <v>464</v>
      </c>
      <c r="C967" s="1">
        <v>45008</v>
      </c>
      <c r="D967">
        <v>2023</v>
      </c>
      <c r="E967">
        <v>2023</v>
      </c>
      <c r="F967">
        <v>14</v>
      </c>
      <c r="H967" t="s">
        <v>852</v>
      </c>
      <c r="I967">
        <v>130</v>
      </c>
      <c r="J967">
        <v>0</v>
      </c>
      <c r="K967" t="s">
        <v>128</v>
      </c>
      <c r="R967" t="s">
        <v>190</v>
      </c>
      <c r="S967" t="str">
        <f t="shared" si="95"/>
        <v>31</v>
      </c>
      <c r="T967" t="s">
        <v>122</v>
      </c>
      <c r="W967" t="s">
        <v>1692</v>
      </c>
      <c r="Y967">
        <v>3344</v>
      </c>
      <c r="Z967" t="s">
        <v>192</v>
      </c>
      <c r="AB967" t="str">
        <f t="shared" si="96"/>
        <v>02616630022</v>
      </c>
      <c r="AC967" t="s">
        <v>116</v>
      </c>
      <c r="AD967" t="s">
        <v>193</v>
      </c>
      <c r="AF967">
        <v>2023</v>
      </c>
      <c r="AG967">
        <v>528</v>
      </c>
      <c r="AH967" t="str">
        <f t="shared" si="94"/>
        <v>1</v>
      </c>
      <c r="AI967" t="str">
        <f>"5230043571"</f>
        <v>5230043571</v>
      </c>
      <c r="AJ967" s="1">
        <v>44977</v>
      </c>
      <c r="AL967">
        <v>335.8</v>
      </c>
      <c r="AM967" t="str">
        <f>"9080222929"</f>
        <v>9080222929</v>
      </c>
      <c r="AN967">
        <v>2023</v>
      </c>
      <c r="AO967">
        <v>364</v>
      </c>
      <c r="AP967">
        <v>335.8</v>
      </c>
      <c r="AQ967">
        <v>0</v>
      </c>
      <c r="AR967" s="2">
        <v>22055.66</v>
      </c>
      <c r="AS967" t="s">
        <v>194</v>
      </c>
      <c r="AT967">
        <v>305.27</v>
      </c>
      <c r="AU967">
        <v>30.53</v>
      </c>
      <c r="AV967">
        <v>2023</v>
      </c>
      <c r="AW967">
        <v>243</v>
      </c>
      <c r="AX967">
        <v>670</v>
      </c>
      <c r="AY967">
        <v>0</v>
      </c>
      <c r="AZ967" t="s">
        <v>1694</v>
      </c>
      <c r="BA967">
        <v>335.8</v>
      </c>
      <c r="BB967" s="1">
        <v>45008</v>
      </c>
    </row>
    <row r="968" spans="1:54" x14ac:dyDescent="0.25">
      <c r="A968">
        <v>2023</v>
      </c>
      <c r="B968">
        <v>464</v>
      </c>
      <c r="C968" s="1">
        <v>45008</v>
      </c>
      <c r="D968">
        <v>2023</v>
      </c>
      <c r="E968">
        <v>2023</v>
      </c>
      <c r="F968">
        <v>14</v>
      </c>
      <c r="H968" t="s">
        <v>852</v>
      </c>
      <c r="I968">
        <v>130</v>
      </c>
      <c r="J968">
        <v>0</v>
      </c>
      <c r="K968" t="s">
        <v>128</v>
      </c>
      <c r="R968" t="s">
        <v>190</v>
      </c>
      <c r="S968" t="str">
        <f t="shared" si="95"/>
        <v>31</v>
      </c>
      <c r="T968" t="s">
        <v>122</v>
      </c>
      <c r="W968" t="s">
        <v>1692</v>
      </c>
      <c r="Y968">
        <v>3344</v>
      </c>
      <c r="Z968" t="s">
        <v>192</v>
      </c>
      <c r="AB968" t="str">
        <f t="shared" si="96"/>
        <v>02616630022</v>
      </c>
      <c r="AC968" t="s">
        <v>116</v>
      </c>
      <c r="AD968" t="s">
        <v>193</v>
      </c>
      <c r="AF968">
        <v>2023</v>
      </c>
      <c r="AG968">
        <v>530</v>
      </c>
      <c r="AH968" t="str">
        <f t="shared" si="94"/>
        <v>1</v>
      </c>
      <c r="AI968" t="str">
        <f>"5230043643"</f>
        <v>5230043643</v>
      </c>
      <c r="AJ968" s="1">
        <v>44977</v>
      </c>
      <c r="AL968">
        <v>40.94</v>
      </c>
      <c r="AM968" t="str">
        <f>"9079983391"</f>
        <v>9079983391</v>
      </c>
      <c r="AN968">
        <v>2023</v>
      </c>
      <c r="AO968">
        <v>364</v>
      </c>
      <c r="AP968">
        <v>40.94</v>
      </c>
      <c r="AQ968">
        <v>0</v>
      </c>
      <c r="AR968" s="2">
        <v>22055.66</v>
      </c>
      <c r="AS968" t="s">
        <v>194</v>
      </c>
      <c r="AT968">
        <v>37.22</v>
      </c>
      <c r="AU968">
        <v>3.72</v>
      </c>
      <c r="AV968">
        <v>2023</v>
      </c>
      <c r="AW968">
        <v>243</v>
      </c>
      <c r="AX968">
        <v>670</v>
      </c>
      <c r="AY968">
        <v>0</v>
      </c>
      <c r="AZ968" t="s">
        <v>1694</v>
      </c>
      <c r="BA968">
        <v>40.94</v>
      </c>
      <c r="BB968" s="1">
        <v>45008</v>
      </c>
    </row>
    <row r="969" spans="1:54" x14ac:dyDescent="0.25">
      <c r="A969">
        <v>2023</v>
      </c>
      <c r="B969">
        <v>464</v>
      </c>
      <c r="C969" s="1">
        <v>45008</v>
      </c>
      <c r="D969">
        <v>2023</v>
      </c>
      <c r="E969">
        <v>2023</v>
      </c>
      <c r="F969">
        <v>14</v>
      </c>
      <c r="H969" t="s">
        <v>852</v>
      </c>
      <c r="I969">
        <v>130</v>
      </c>
      <c r="J969">
        <v>0</v>
      </c>
      <c r="K969" t="s">
        <v>128</v>
      </c>
      <c r="R969" t="s">
        <v>190</v>
      </c>
      <c r="S969" t="str">
        <f t="shared" si="95"/>
        <v>31</v>
      </c>
      <c r="T969" t="s">
        <v>122</v>
      </c>
      <c r="W969" t="s">
        <v>1692</v>
      </c>
      <c r="Y969">
        <v>3344</v>
      </c>
      <c r="Z969" t="s">
        <v>192</v>
      </c>
      <c r="AB969" t="str">
        <f t="shared" si="96"/>
        <v>02616630022</v>
      </c>
      <c r="AC969" t="s">
        <v>116</v>
      </c>
      <c r="AD969" t="s">
        <v>193</v>
      </c>
      <c r="AF969">
        <v>2023</v>
      </c>
      <c r="AG969">
        <v>531</v>
      </c>
      <c r="AH969" t="str">
        <f t="shared" si="94"/>
        <v>1</v>
      </c>
      <c r="AI969" t="str">
        <f>"5230043549"</f>
        <v>5230043549</v>
      </c>
      <c r="AJ969" s="1">
        <v>44977</v>
      </c>
      <c r="AL969">
        <v>909.48</v>
      </c>
      <c r="AM969" t="str">
        <f>"9080223876"</f>
        <v>9080223876</v>
      </c>
      <c r="AN969">
        <v>2023</v>
      </c>
      <c r="AO969">
        <v>364</v>
      </c>
      <c r="AP969">
        <v>909.48</v>
      </c>
      <c r="AQ969">
        <v>0</v>
      </c>
      <c r="AR969" s="2">
        <v>22055.66</v>
      </c>
      <c r="AS969" t="s">
        <v>194</v>
      </c>
      <c r="AT969">
        <v>826.8</v>
      </c>
      <c r="AU969">
        <v>82.68</v>
      </c>
      <c r="AV969">
        <v>2023</v>
      </c>
      <c r="AW969">
        <v>243</v>
      </c>
      <c r="AX969">
        <v>670</v>
      </c>
      <c r="AY969">
        <v>0</v>
      </c>
      <c r="AZ969" t="s">
        <v>1694</v>
      </c>
      <c r="BA969">
        <v>909.48</v>
      </c>
      <c r="BB969" s="1">
        <v>45008</v>
      </c>
    </row>
    <row r="970" spans="1:54" x14ac:dyDescent="0.25">
      <c r="A970">
        <v>2023</v>
      </c>
      <c r="B970">
        <v>464</v>
      </c>
      <c r="C970" s="1">
        <v>45008</v>
      </c>
      <c r="D970">
        <v>2023</v>
      </c>
      <c r="E970">
        <v>2023</v>
      </c>
      <c r="F970">
        <v>14</v>
      </c>
      <c r="H970" t="s">
        <v>852</v>
      </c>
      <c r="I970">
        <v>130</v>
      </c>
      <c r="J970">
        <v>0</v>
      </c>
      <c r="K970" t="s">
        <v>128</v>
      </c>
      <c r="R970" t="s">
        <v>190</v>
      </c>
      <c r="S970" t="str">
        <f t="shared" si="95"/>
        <v>31</v>
      </c>
      <c r="T970" t="s">
        <v>122</v>
      </c>
      <c r="W970" t="s">
        <v>1692</v>
      </c>
      <c r="Y970">
        <v>3344</v>
      </c>
      <c r="Z970" t="s">
        <v>192</v>
      </c>
      <c r="AB970" t="str">
        <f t="shared" si="96"/>
        <v>02616630022</v>
      </c>
      <c r="AC970" t="s">
        <v>116</v>
      </c>
      <c r="AD970" t="s">
        <v>193</v>
      </c>
      <c r="AF970">
        <v>2023</v>
      </c>
      <c r="AG970">
        <v>532</v>
      </c>
      <c r="AH970" t="str">
        <f t="shared" si="94"/>
        <v>1</v>
      </c>
      <c r="AI970" t="str">
        <f>"5230043548"</f>
        <v>5230043548</v>
      </c>
      <c r="AJ970" s="1">
        <v>44977</v>
      </c>
      <c r="AL970" s="2">
        <v>18481.73</v>
      </c>
      <c r="AM970" t="str">
        <f>"9080199787"</f>
        <v>9080199787</v>
      </c>
      <c r="AN970">
        <v>2023</v>
      </c>
      <c r="AO970">
        <v>364</v>
      </c>
      <c r="AP970" s="2">
        <v>18481.73</v>
      </c>
      <c r="AQ970">
        <v>0</v>
      </c>
      <c r="AR970" s="2">
        <v>22055.66</v>
      </c>
      <c r="AS970" t="s">
        <v>194</v>
      </c>
      <c r="AT970">
        <v>16801.57</v>
      </c>
      <c r="AU970">
        <v>1680.16</v>
      </c>
      <c r="AV970">
        <v>2023</v>
      </c>
      <c r="AW970">
        <v>243</v>
      </c>
      <c r="AX970">
        <v>670</v>
      </c>
      <c r="AY970">
        <v>0</v>
      </c>
      <c r="AZ970" t="s">
        <v>1694</v>
      </c>
      <c r="BA970">
        <v>18481.73</v>
      </c>
      <c r="BB970" s="1">
        <v>45008</v>
      </c>
    </row>
    <row r="971" spans="1:54" x14ac:dyDescent="0.25">
      <c r="A971">
        <v>2023</v>
      </c>
      <c r="B971">
        <v>464</v>
      </c>
      <c r="C971" s="1">
        <v>45008</v>
      </c>
      <c r="D971">
        <v>2023</v>
      </c>
      <c r="E971">
        <v>2023</v>
      </c>
      <c r="F971">
        <v>14</v>
      </c>
      <c r="H971" t="s">
        <v>852</v>
      </c>
      <c r="I971">
        <v>130</v>
      </c>
      <c r="J971">
        <v>0</v>
      </c>
      <c r="K971" t="s">
        <v>128</v>
      </c>
      <c r="R971" t="s">
        <v>190</v>
      </c>
      <c r="S971" t="str">
        <f t="shared" si="95"/>
        <v>31</v>
      </c>
      <c r="T971" t="s">
        <v>122</v>
      </c>
      <c r="W971" t="s">
        <v>1692</v>
      </c>
      <c r="Y971">
        <v>3344</v>
      </c>
      <c r="Z971" t="s">
        <v>192</v>
      </c>
      <c r="AB971" t="str">
        <f t="shared" si="96"/>
        <v>02616630022</v>
      </c>
      <c r="AC971" t="s">
        <v>116</v>
      </c>
      <c r="AD971" t="s">
        <v>193</v>
      </c>
      <c r="AF971">
        <v>2023</v>
      </c>
      <c r="AG971">
        <v>534</v>
      </c>
      <c r="AH971" t="str">
        <f t="shared" ref="AH971:AH1003" si="97">"1"</f>
        <v>1</v>
      </c>
      <c r="AI971" t="str">
        <f>"5230043584"</f>
        <v>5230043584</v>
      </c>
      <c r="AJ971" s="1">
        <v>44977</v>
      </c>
      <c r="AL971">
        <v>6.96</v>
      </c>
      <c r="AM971" t="str">
        <f>"9080228339"</f>
        <v>9080228339</v>
      </c>
      <c r="AN971">
        <v>2023</v>
      </c>
      <c r="AO971">
        <v>364</v>
      </c>
      <c r="AP971">
        <v>6.96</v>
      </c>
      <c r="AQ971">
        <v>0</v>
      </c>
      <c r="AR971" s="2">
        <v>22055.66</v>
      </c>
      <c r="AS971" t="s">
        <v>194</v>
      </c>
      <c r="AT971">
        <v>6.33</v>
      </c>
      <c r="AU971">
        <v>0.63</v>
      </c>
      <c r="AV971">
        <v>2023</v>
      </c>
      <c r="AW971">
        <v>243</v>
      </c>
      <c r="AX971">
        <v>670</v>
      </c>
      <c r="AY971">
        <v>0</v>
      </c>
      <c r="AZ971" t="s">
        <v>1694</v>
      </c>
      <c r="BA971">
        <v>6.96</v>
      </c>
      <c r="BB971" s="1">
        <v>45008</v>
      </c>
    </row>
    <row r="972" spans="1:54" x14ac:dyDescent="0.25">
      <c r="A972">
        <v>2023</v>
      </c>
      <c r="B972">
        <v>464</v>
      </c>
      <c r="C972" s="1">
        <v>45008</v>
      </c>
      <c r="D972">
        <v>2023</v>
      </c>
      <c r="E972">
        <v>2023</v>
      </c>
      <c r="F972">
        <v>14</v>
      </c>
      <c r="H972" t="s">
        <v>852</v>
      </c>
      <c r="I972">
        <v>130</v>
      </c>
      <c r="J972">
        <v>0</v>
      </c>
      <c r="K972" t="s">
        <v>128</v>
      </c>
      <c r="R972" t="s">
        <v>190</v>
      </c>
      <c r="S972" t="str">
        <f t="shared" ref="S972:S999" si="98">"31"</f>
        <v>31</v>
      </c>
      <c r="T972" t="s">
        <v>122</v>
      </c>
      <c r="W972" t="s">
        <v>1692</v>
      </c>
      <c r="Y972">
        <v>3344</v>
      </c>
      <c r="Z972" t="s">
        <v>192</v>
      </c>
      <c r="AB972" t="str">
        <f t="shared" ref="AB972:AB997" si="99">"02616630022"</f>
        <v>02616630022</v>
      </c>
      <c r="AC972" t="s">
        <v>116</v>
      </c>
      <c r="AD972" t="s">
        <v>193</v>
      </c>
      <c r="AF972">
        <v>2023</v>
      </c>
      <c r="AG972">
        <v>536</v>
      </c>
      <c r="AH972" t="str">
        <f t="shared" si="97"/>
        <v>1</v>
      </c>
      <c r="AI972" t="str">
        <f>"5230043579"</f>
        <v>5230043579</v>
      </c>
      <c r="AJ972" s="1">
        <v>44977</v>
      </c>
      <c r="AL972">
        <v>27.6</v>
      </c>
      <c r="AM972" t="str">
        <f>"9080206585"</f>
        <v>9080206585</v>
      </c>
      <c r="AN972">
        <v>2023</v>
      </c>
      <c r="AO972">
        <v>364</v>
      </c>
      <c r="AP972">
        <v>27.6</v>
      </c>
      <c r="AQ972">
        <v>0</v>
      </c>
      <c r="AR972" s="2">
        <v>22055.66</v>
      </c>
      <c r="AS972" t="s">
        <v>194</v>
      </c>
      <c r="AT972">
        <v>25.09</v>
      </c>
      <c r="AU972">
        <v>2.5099999999999998</v>
      </c>
      <c r="AV972">
        <v>2023</v>
      </c>
      <c r="AW972">
        <v>243</v>
      </c>
      <c r="AX972">
        <v>670</v>
      </c>
      <c r="AY972">
        <v>0</v>
      </c>
      <c r="AZ972" t="s">
        <v>1694</v>
      </c>
      <c r="BA972">
        <v>27.6</v>
      </c>
      <c r="BB972" s="1">
        <v>45008</v>
      </c>
    </row>
    <row r="973" spans="1:54" x14ac:dyDescent="0.25">
      <c r="A973">
        <v>2023</v>
      </c>
      <c r="B973">
        <v>464</v>
      </c>
      <c r="C973" s="1">
        <v>45008</v>
      </c>
      <c r="D973">
        <v>2023</v>
      </c>
      <c r="E973">
        <v>2023</v>
      </c>
      <c r="F973">
        <v>14</v>
      </c>
      <c r="H973" t="s">
        <v>852</v>
      </c>
      <c r="I973">
        <v>130</v>
      </c>
      <c r="J973">
        <v>0</v>
      </c>
      <c r="K973" t="s">
        <v>128</v>
      </c>
      <c r="R973" t="s">
        <v>190</v>
      </c>
      <c r="S973" t="str">
        <f t="shared" si="98"/>
        <v>31</v>
      </c>
      <c r="T973" t="s">
        <v>122</v>
      </c>
      <c r="W973" t="s">
        <v>1692</v>
      </c>
      <c r="Y973">
        <v>3344</v>
      </c>
      <c r="Z973" t="s">
        <v>192</v>
      </c>
      <c r="AB973" t="str">
        <f t="shared" si="99"/>
        <v>02616630022</v>
      </c>
      <c r="AC973" t="s">
        <v>116</v>
      </c>
      <c r="AD973" t="s">
        <v>193</v>
      </c>
      <c r="AF973">
        <v>2023</v>
      </c>
      <c r="AG973">
        <v>537</v>
      </c>
      <c r="AH973" t="str">
        <f t="shared" si="97"/>
        <v>1</v>
      </c>
      <c r="AI973" t="str">
        <f>"5230043522"</f>
        <v>5230043522</v>
      </c>
      <c r="AJ973" s="1">
        <v>44977</v>
      </c>
      <c r="AL973" s="2">
        <v>2694.77</v>
      </c>
      <c r="AM973" t="str">
        <f>"9080411728"</f>
        <v>9080411728</v>
      </c>
      <c r="AN973">
        <v>2023</v>
      </c>
      <c r="AO973">
        <v>364</v>
      </c>
      <c r="AP973" s="2">
        <v>2694.77</v>
      </c>
      <c r="AQ973">
        <v>0</v>
      </c>
      <c r="AR973" s="2">
        <v>22055.66</v>
      </c>
      <c r="AS973" t="s">
        <v>194</v>
      </c>
      <c r="AT973">
        <v>2449.79</v>
      </c>
      <c r="AU973">
        <v>244.98</v>
      </c>
      <c r="AV973">
        <v>2023</v>
      </c>
      <c r="AW973">
        <v>243</v>
      </c>
      <c r="AX973">
        <v>670</v>
      </c>
      <c r="AY973">
        <v>0</v>
      </c>
      <c r="AZ973" t="s">
        <v>1694</v>
      </c>
      <c r="BA973">
        <v>2694.77</v>
      </c>
      <c r="BB973" s="1">
        <v>45008</v>
      </c>
    </row>
    <row r="974" spans="1:54" x14ac:dyDescent="0.25">
      <c r="A974">
        <v>2023</v>
      </c>
      <c r="B974">
        <v>464</v>
      </c>
      <c r="C974" s="1">
        <v>45008</v>
      </c>
      <c r="D974">
        <v>2023</v>
      </c>
      <c r="E974">
        <v>2023</v>
      </c>
      <c r="F974">
        <v>14</v>
      </c>
      <c r="H974" t="s">
        <v>852</v>
      </c>
      <c r="I974">
        <v>130</v>
      </c>
      <c r="J974">
        <v>0</v>
      </c>
      <c r="K974" t="s">
        <v>128</v>
      </c>
      <c r="R974" t="s">
        <v>190</v>
      </c>
      <c r="S974" t="str">
        <f t="shared" si="98"/>
        <v>31</v>
      </c>
      <c r="T974" t="s">
        <v>122</v>
      </c>
      <c r="W974" t="s">
        <v>1692</v>
      </c>
      <c r="Y974">
        <v>3344</v>
      </c>
      <c r="Z974" t="s">
        <v>192</v>
      </c>
      <c r="AB974" t="str">
        <f t="shared" si="99"/>
        <v>02616630022</v>
      </c>
      <c r="AC974" t="s">
        <v>116</v>
      </c>
      <c r="AD974" t="s">
        <v>193</v>
      </c>
      <c r="AF974">
        <v>2023</v>
      </c>
      <c r="AG974">
        <v>538</v>
      </c>
      <c r="AH974" t="str">
        <f t="shared" si="97"/>
        <v>1</v>
      </c>
      <c r="AI974" t="str">
        <f>"5230043523"</f>
        <v>5230043523</v>
      </c>
      <c r="AJ974" s="1">
        <v>44977</v>
      </c>
      <c r="AL974">
        <v>372.01</v>
      </c>
      <c r="AM974" t="str">
        <f>"9080412374"</f>
        <v>9080412374</v>
      </c>
      <c r="AN974">
        <v>2023</v>
      </c>
      <c r="AO974">
        <v>364</v>
      </c>
      <c r="AP974">
        <v>372.01</v>
      </c>
      <c r="AQ974">
        <v>0</v>
      </c>
      <c r="AR974" s="2">
        <v>22055.66</v>
      </c>
      <c r="AS974" t="s">
        <v>194</v>
      </c>
      <c r="AT974">
        <v>338.19</v>
      </c>
      <c r="AU974">
        <v>33.82</v>
      </c>
      <c r="AV974">
        <v>2023</v>
      </c>
      <c r="AW974">
        <v>243</v>
      </c>
      <c r="AX974">
        <v>670</v>
      </c>
      <c r="AY974">
        <v>0</v>
      </c>
      <c r="AZ974" t="s">
        <v>1694</v>
      </c>
      <c r="BA974">
        <v>372.01</v>
      </c>
      <c r="BB974" s="1">
        <v>45008</v>
      </c>
    </row>
    <row r="975" spans="1:54" x14ac:dyDescent="0.25">
      <c r="A975">
        <v>2023</v>
      </c>
      <c r="B975">
        <v>464</v>
      </c>
      <c r="C975" s="1">
        <v>45008</v>
      </c>
      <c r="D975">
        <v>2023</v>
      </c>
      <c r="E975">
        <v>2023</v>
      </c>
      <c r="F975">
        <v>14</v>
      </c>
      <c r="H975" t="s">
        <v>852</v>
      </c>
      <c r="I975">
        <v>130</v>
      </c>
      <c r="J975">
        <v>0</v>
      </c>
      <c r="K975" t="s">
        <v>128</v>
      </c>
      <c r="R975" t="s">
        <v>190</v>
      </c>
      <c r="S975" t="str">
        <f t="shared" si="98"/>
        <v>31</v>
      </c>
      <c r="T975" t="s">
        <v>122</v>
      </c>
      <c r="W975" t="s">
        <v>1692</v>
      </c>
      <c r="Y975">
        <v>3344</v>
      </c>
      <c r="Z975" t="s">
        <v>192</v>
      </c>
      <c r="AB975" t="str">
        <f t="shared" si="99"/>
        <v>02616630022</v>
      </c>
      <c r="AC975" t="s">
        <v>116</v>
      </c>
      <c r="AD975" t="s">
        <v>193</v>
      </c>
      <c r="AF975">
        <v>2023</v>
      </c>
      <c r="AG975">
        <v>539</v>
      </c>
      <c r="AH975" t="str">
        <f t="shared" si="97"/>
        <v>1</v>
      </c>
      <c r="AI975" t="str">
        <f>"5230043514"</f>
        <v>5230043514</v>
      </c>
      <c r="AJ975" s="1">
        <v>44977</v>
      </c>
      <c r="AL975" s="2">
        <v>6862.53</v>
      </c>
      <c r="AM975" t="str">
        <f>"9080412148"</f>
        <v>9080412148</v>
      </c>
      <c r="AN975">
        <v>2023</v>
      </c>
      <c r="AO975">
        <v>364</v>
      </c>
      <c r="AP975" s="2">
        <v>6862.53</v>
      </c>
      <c r="AQ975">
        <v>0</v>
      </c>
      <c r="AR975" s="2">
        <v>22055.66</v>
      </c>
      <c r="AS975" t="s">
        <v>194</v>
      </c>
      <c r="AT975">
        <v>6238.66</v>
      </c>
      <c r="AU975">
        <v>623.87</v>
      </c>
      <c r="AV975">
        <v>2023</v>
      </c>
      <c r="AW975">
        <v>243</v>
      </c>
      <c r="AX975">
        <v>670</v>
      </c>
      <c r="AY975">
        <v>0</v>
      </c>
      <c r="AZ975" t="s">
        <v>1694</v>
      </c>
      <c r="BA975">
        <v>6862.53</v>
      </c>
      <c r="BB975" s="1">
        <v>45008</v>
      </c>
    </row>
    <row r="976" spans="1:54" x14ac:dyDescent="0.25">
      <c r="A976">
        <v>2023</v>
      </c>
      <c r="B976">
        <v>464</v>
      </c>
      <c r="C976" s="1">
        <v>45008</v>
      </c>
      <c r="D976">
        <v>2023</v>
      </c>
      <c r="E976">
        <v>2023</v>
      </c>
      <c r="F976">
        <v>14</v>
      </c>
      <c r="H976" t="s">
        <v>852</v>
      </c>
      <c r="I976">
        <v>130</v>
      </c>
      <c r="J976">
        <v>0</v>
      </c>
      <c r="K976" t="s">
        <v>128</v>
      </c>
      <c r="R976" t="s">
        <v>190</v>
      </c>
      <c r="S976" t="str">
        <f t="shared" si="98"/>
        <v>31</v>
      </c>
      <c r="T976" t="s">
        <v>122</v>
      </c>
      <c r="W976" t="s">
        <v>1692</v>
      </c>
      <c r="Y976">
        <v>3344</v>
      </c>
      <c r="Z976" t="s">
        <v>192</v>
      </c>
      <c r="AB976" t="str">
        <f t="shared" si="99"/>
        <v>02616630022</v>
      </c>
      <c r="AC976" t="s">
        <v>116</v>
      </c>
      <c r="AD976" t="s">
        <v>193</v>
      </c>
      <c r="AF976">
        <v>2023</v>
      </c>
      <c r="AG976">
        <v>540</v>
      </c>
      <c r="AH976" t="str">
        <f t="shared" si="97"/>
        <v>1</v>
      </c>
      <c r="AI976" t="str">
        <f>"5230043516"</f>
        <v>5230043516</v>
      </c>
      <c r="AJ976" s="1">
        <v>44977</v>
      </c>
      <c r="AL976" s="2">
        <v>5449.98</v>
      </c>
      <c r="AM976" t="str">
        <f>"9080415374"</f>
        <v>9080415374</v>
      </c>
      <c r="AN976">
        <v>2023</v>
      </c>
      <c r="AO976">
        <v>364</v>
      </c>
      <c r="AP976" s="2">
        <v>5449.98</v>
      </c>
      <c r="AQ976">
        <v>0</v>
      </c>
      <c r="AR976" s="2">
        <v>22055.66</v>
      </c>
      <c r="AS976" t="s">
        <v>194</v>
      </c>
      <c r="AT976">
        <v>4954.53</v>
      </c>
      <c r="AU976">
        <v>495.45</v>
      </c>
      <c r="AV976">
        <v>2023</v>
      </c>
      <c r="AW976">
        <v>243</v>
      </c>
      <c r="AX976">
        <v>670</v>
      </c>
      <c r="AY976">
        <v>0</v>
      </c>
      <c r="AZ976" t="s">
        <v>1694</v>
      </c>
      <c r="BA976">
        <v>5449.98</v>
      </c>
      <c r="BB976" s="1">
        <v>45008</v>
      </c>
    </row>
    <row r="977" spans="1:54" x14ac:dyDescent="0.25">
      <c r="A977">
        <v>2023</v>
      </c>
      <c r="B977">
        <v>464</v>
      </c>
      <c r="C977" s="1">
        <v>45008</v>
      </c>
      <c r="D977">
        <v>2023</v>
      </c>
      <c r="E977">
        <v>2023</v>
      </c>
      <c r="F977">
        <v>14</v>
      </c>
      <c r="H977" t="s">
        <v>852</v>
      </c>
      <c r="I977">
        <v>130</v>
      </c>
      <c r="J977">
        <v>0</v>
      </c>
      <c r="K977" t="s">
        <v>128</v>
      </c>
      <c r="R977" t="s">
        <v>190</v>
      </c>
      <c r="S977" t="str">
        <f t="shared" si="98"/>
        <v>31</v>
      </c>
      <c r="T977" t="s">
        <v>122</v>
      </c>
      <c r="W977" t="s">
        <v>1692</v>
      </c>
      <c r="Y977">
        <v>3344</v>
      </c>
      <c r="Z977" t="s">
        <v>192</v>
      </c>
      <c r="AB977" t="str">
        <f t="shared" si="99"/>
        <v>02616630022</v>
      </c>
      <c r="AC977" t="s">
        <v>116</v>
      </c>
      <c r="AD977" t="s">
        <v>193</v>
      </c>
      <c r="AF977">
        <v>2023</v>
      </c>
      <c r="AG977">
        <v>541</v>
      </c>
      <c r="AH977" t="str">
        <f t="shared" si="97"/>
        <v>1</v>
      </c>
      <c r="AI977" t="str">
        <f>"5230043518"</f>
        <v>5230043518</v>
      </c>
      <c r="AJ977" s="1">
        <v>44977</v>
      </c>
      <c r="AL977" s="2">
        <v>2880.57</v>
      </c>
      <c r="AM977" t="str">
        <f>"9080417783"</f>
        <v>9080417783</v>
      </c>
      <c r="AN977">
        <v>2023</v>
      </c>
      <c r="AO977">
        <v>364</v>
      </c>
      <c r="AP977" s="2">
        <v>2880.57</v>
      </c>
      <c r="AQ977">
        <v>0</v>
      </c>
      <c r="AR977" s="2">
        <v>22055.66</v>
      </c>
      <c r="AS977" t="s">
        <v>194</v>
      </c>
      <c r="AT977">
        <v>2618.6999999999998</v>
      </c>
      <c r="AU977">
        <v>261.87</v>
      </c>
      <c r="AV977">
        <v>2023</v>
      </c>
      <c r="AW977">
        <v>243</v>
      </c>
      <c r="AX977">
        <v>670</v>
      </c>
      <c r="AY977">
        <v>0</v>
      </c>
      <c r="AZ977" t="s">
        <v>1694</v>
      </c>
      <c r="BA977">
        <v>2880.57</v>
      </c>
      <c r="BB977" s="1">
        <v>45008</v>
      </c>
    </row>
    <row r="978" spans="1:54" x14ac:dyDescent="0.25">
      <c r="A978">
        <v>2023</v>
      </c>
      <c r="B978">
        <v>464</v>
      </c>
      <c r="C978" s="1">
        <v>45008</v>
      </c>
      <c r="D978">
        <v>2023</v>
      </c>
      <c r="E978">
        <v>2023</v>
      </c>
      <c r="F978">
        <v>14</v>
      </c>
      <c r="H978" t="s">
        <v>852</v>
      </c>
      <c r="I978">
        <v>130</v>
      </c>
      <c r="J978">
        <v>0</v>
      </c>
      <c r="K978" t="s">
        <v>128</v>
      </c>
      <c r="R978" t="s">
        <v>190</v>
      </c>
      <c r="S978" t="str">
        <f t="shared" si="98"/>
        <v>31</v>
      </c>
      <c r="T978" t="s">
        <v>122</v>
      </c>
      <c r="W978" t="s">
        <v>1692</v>
      </c>
      <c r="Y978">
        <v>3344</v>
      </c>
      <c r="Z978" t="s">
        <v>192</v>
      </c>
      <c r="AB978" t="str">
        <f t="shared" si="99"/>
        <v>02616630022</v>
      </c>
      <c r="AC978" t="s">
        <v>116</v>
      </c>
      <c r="AD978" t="s">
        <v>193</v>
      </c>
      <c r="AF978">
        <v>2023</v>
      </c>
      <c r="AG978">
        <v>542</v>
      </c>
      <c r="AH978" t="str">
        <f t="shared" si="97"/>
        <v>1</v>
      </c>
      <c r="AI978" t="str">
        <f>"5230043515"</f>
        <v>5230043515</v>
      </c>
      <c r="AJ978" s="1">
        <v>44977</v>
      </c>
      <c r="AL978" s="2">
        <v>1258.04</v>
      </c>
      <c r="AM978" t="str">
        <f>"9080416606"</f>
        <v>9080416606</v>
      </c>
      <c r="AN978">
        <v>2023</v>
      </c>
      <c r="AO978">
        <v>364</v>
      </c>
      <c r="AP978" s="2">
        <v>1258.04</v>
      </c>
      <c r="AQ978">
        <v>0</v>
      </c>
      <c r="AR978" s="2">
        <v>22055.66</v>
      </c>
      <c r="AS978" t="s">
        <v>194</v>
      </c>
      <c r="AT978">
        <v>1143.67</v>
      </c>
      <c r="AU978">
        <v>114.37</v>
      </c>
      <c r="AV978">
        <v>2023</v>
      </c>
      <c r="AW978">
        <v>243</v>
      </c>
      <c r="AX978">
        <v>670</v>
      </c>
      <c r="AY978">
        <v>0</v>
      </c>
      <c r="AZ978" t="s">
        <v>1694</v>
      </c>
      <c r="BA978">
        <v>1258.04</v>
      </c>
      <c r="BB978" s="1">
        <v>45008</v>
      </c>
    </row>
    <row r="979" spans="1:54" x14ac:dyDescent="0.25">
      <c r="A979">
        <v>2023</v>
      </c>
      <c r="B979">
        <v>464</v>
      </c>
      <c r="C979" s="1">
        <v>45008</v>
      </c>
      <c r="D979">
        <v>2023</v>
      </c>
      <c r="E979">
        <v>2023</v>
      </c>
      <c r="F979">
        <v>14</v>
      </c>
      <c r="H979" t="s">
        <v>852</v>
      </c>
      <c r="I979">
        <v>130</v>
      </c>
      <c r="J979">
        <v>0</v>
      </c>
      <c r="K979" t="s">
        <v>128</v>
      </c>
      <c r="R979" t="s">
        <v>190</v>
      </c>
      <c r="S979" t="str">
        <f t="shared" si="98"/>
        <v>31</v>
      </c>
      <c r="T979" t="s">
        <v>122</v>
      </c>
      <c r="W979" t="s">
        <v>1692</v>
      </c>
      <c r="Y979">
        <v>3344</v>
      </c>
      <c r="Z979" t="s">
        <v>192</v>
      </c>
      <c r="AB979" t="str">
        <f t="shared" si="99"/>
        <v>02616630022</v>
      </c>
      <c r="AC979" t="s">
        <v>116</v>
      </c>
      <c r="AD979" t="s">
        <v>193</v>
      </c>
      <c r="AF979">
        <v>2023</v>
      </c>
      <c r="AG979">
        <v>543</v>
      </c>
      <c r="AH979" t="str">
        <f t="shared" si="97"/>
        <v>1</v>
      </c>
      <c r="AI979" t="str">
        <f>"5230043524"</f>
        <v>5230043524</v>
      </c>
      <c r="AJ979" s="1">
        <v>44977</v>
      </c>
      <c r="AL979">
        <v>9.8000000000000007</v>
      </c>
      <c r="AM979" t="str">
        <f>"9080418210"</f>
        <v>9080418210</v>
      </c>
      <c r="AN979">
        <v>2023</v>
      </c>
      <c r="AO979">
        <v>364</v>
      </c>
      <c r="AP979">
        <v>9.8000000000000007</v>
      </c>
      <c r="AQ979">
        <v>0</v>
      </c>
      <c r="AR979" s="2">
        <v>22055.66</v>
      </c>
      <c r="AS979" t="s">
        <v>194</v>
      </c>
      <c r="AT979">
        <v>8.91</v>
      </c>
      <c r="AU979">
        <v>0.89</v>
      </c>
      <c r="AV979">
        <v>2023</v>
      </c>
      <c r="AW979">
        <v>243</v>
      </c>
      <c r="AX979">
        <v>670</v>
      </c>
      <c r="AY979">
        <v>0</v>
      </c>
      <c r="AZ979" t="s">
        <v>1694</v>
      </c>
      <c r="BA979">
        <v>9.8000000000000007</v>
      </c>
      <c r="BB979" s="1">
        <v>45008</v>
      </c>
    </row>
    <row r="980" spans="1:54" x14ac:dyDescent="0.25">
      <c r="A980">
        <v>2023</v>
      </c>
      <c r="B980">
        <v>464</v>
      </c>
      <c r="C980" s="1">
        <v>45008</v>
      </c>
      <c r="D980">
        <v>2023</v>
      </c>
      <c r="E980">
        <v>2023</v>
      </c>
      <c r="F980">
        <v>14</v>
      </c>
      <c r="H980" t="s">
        <v>852</v>
      </c>
      <c r="I980">
        <v>130</v>
      </c>
      <c r="J980">
        <v>0</v>
      </c>
      <c r="K980" t="s">
        <v>128</v>
      </c>
      <c r="R980" t="s">
        <v>190</v>
      </c>
      <c r="S980" t="str">
        <f t="shared" si="98"/>
        <v>31</v>
      </c>
      <c r="T980" t="s">
        <v>122</v>
      </c>
      <c r="W980" t="s">
        <v>1692</v>
      </c>
      <c r="Y980">
        <v>3344</v>
      </c>
      <c r="Z980" t="s">
        <v>192</v>
      </c>
      <c r="AB980" t="str">
        <f t="shared" si="99"/>
        <v>02616630022</v>
      </c>
      <c r="AC980" t="s">
        <v>116</v>
      </c>
      <c r="AD980" t="s">
        <v>193</v>
      </c>
      <c r="AF980">
        <v>2023</v>
      </c>
      <c r="AG980">
        <v>544</v>
      </c>
      <c r="AH980" t="str">
        <f t="shared" si="97"/>
        <v>1</v>
      </c>
      <c r="AI980" t="str">
        <f>"5230043519"</f>
        <v>5230043519</v>
      </c>
      <c r="AJ980" s="1">
        <v>44977</v>
      </c>
      <c r="AL980" s="2">
        <v>10558.09</v>
      </c>
      <c r="AM980" t="str">
        <f>"9080421020"</f>
        <v>9080421020</v>
      </c>
      <c r="AN980">
        <v>2023</v>
      </c>
      <c r="AO980">
        <v>364</v>
      </c>
      <c r="AP980" s="2">
        <v>10558.09</v>
      </c>
      <c r="AQ980">
        <v>0</v>
      </c>
      <c r="AR980" s="2">
        <v>22055.66</v>
      </c>
      <c r="AS980" t="s">
        <v>194</v>
      </c>
      <c r="AT980">
        <v>9598.26</v>
      </c>
      <c r="AU980">
        <v>959.83</v>
      </c>
      <c r="AV980">
        <v>2023</v>
      </c>
      <c r="AW980">
        <v>243</v>
      </c>
      <c r="AX980">
        <v>670</v>
      </c>
      <c r="AY980">
        <v>0</v>
      </c>
      <c r="AZ980" t="s">
        <v>1694</v>
      </c>
      <c r="BA980">
        <v>10558.09</v>
      </c>
      <c r="BB980" s="1">
        <v>45008</v>
      </c>
    </row>
    <row r="981" spans="1:54" x14ac:dyDescent="0.25">
      <c r="A981">
        <v>2023</v>
      </c>
      <c r="B981">
        <v>464</v>
      </c>
      <c r="C981" s="1">
        <v>45008</v>
      </c>
      <c r="D981">
        <v>2023</v>
      </c>
      <c r="E981">
        <v>2023</v>
      </c>
      <c r="F981">
        <v>14</v>
      </c>
      <c r="H981" t="s">
        <v>852</v>
      </c>
      <c r="I981">
        <v>130</v>
      </c>
      <c r="J981">
        <v>0</v>
      </c>
      <c r="K981" t="s">
        <v>128</v>
      </c>
      <c r="R981" t="s">
        <v>190</v>
      </c>
      <c r="S981" t="str">
        <f t="shared" si="98"/>
        <v>31</v>
      </c>
      <c r="T981" t="s">
        <v>122</v>
      </c>
      <c r="W981" t="s">
        <v>1692</v>
      </c>
      <c r="Y981">
        <v>3344</v>
      </c>
      <c r="Z981" t="s">
        <v>192</v>
      </c>
      <c r="AB981" t="str">
        <f t="shared" si="99"/>
        <v>02616630022</v>
      </c>
      <c r="AC981" t="s">
        <v>116</v>
      </c>
      <c r="AD981" t="s">
        <v>193</v>
      </c>
      <c r="AF981">
        <v>2023</v>
      </c>
      <c r="AG981">
        <v>545</v>
      </c>
      <c r="AH981" t="str">
        <f t="shared" si="97"/>
        <v>1</v>
      </c>
      <c r="AI981" t="str">
        <f>"5230043520"</f>
        <v>5230043520</v>
      </c>
      <c r="AJ981" s="1">
        <v>44977</v>
      </c>
      <c r="AL981" s="2">
        <v>65732.13</v>
      </c>
      <c r="AM981" t="str">
        <f>"9080421420"</f>
        <v>9080421420</v>
      </c>
      <c r="AN981">
        <v>2023</v>
      </c>
      <c r="AO981">
        <v>364</v>
      </c>
      <c r="AP981" s="2">
        <v>65732.13</v>
      </c>
      <c r="AQ981">
        <v>0</v>
      </c>
      <c r="AR981" s="2">
        <v>22055.66</v>
      </c>
      <c r="AS981" t="s">
        <v>194</v>
      </c>
      <c r="AT981">
        <v>59756.480000000003</v>
      </c>
      <c r="AU981">
        <v>5975.65</v>
      </c>
      <c r="AV981">
        <v>2023</v>
      </c>
      <c r="AW981">
        <v>243</v>
      </c>
      <c r="AX981">
        <v>670</v>
      </c>
      <c r="AY981">
        <v>0</v>
      </c>
      <c r="AZ981" t="s">
        <v>1694</v>
      </c>
      <c r="BA981">
        <v>65732.13</v>
      </c>
      <c r="BB981" s="1">
        <v>45008</v>
      </c>
    </row>
    <row r="982" spans="1:54" x14ac:dyDescent="0.25">
      <c r="A982">
        <v>2023</v>
      </c>
      <c r="B982">
        <v>464</v>
      </c>
      <c r="C982" s="1">
        <v>45008</v>
      </c>
      <c r="D982">
        <v>2023</v>
      </c>
      <c r="E982">
        <v>2023</v>
      </c>
      <c r="F982">
        <v>14</v>
      </c>
      <c r="H982" t="s">
        <v>852</v>
      </c>
      <c r="I982">
        <v>130</v>
      </c>
      <c r="J982">
        <v>0</v>
      </c>
      <c r="K982" t="s">
        <v>128</v>
      </c>
      <c r="R982" t="s">
        <v>190</v>
      </c>
      <c r="S982" t="str">
        <f t="shared" si="98"/>
        <v>31</v>
      </c>
      <c r="T982" t="s">
        <v>122</v>
      </c>
      <c r="W982" t="s">
        <v>1692</v>
      </c>
      <c r="Y982">
        <v>3344</v>
      </c>
      <c r="Z982" t="s">
        <v>192</v>
      </c>
      <c r="AB982" t="str">
        <f t="shared" si="99"/>
        <v>02616630022</v>
      </c>
      <c r="AC982" t="s">
        <v>116</v>
      </c>
      <c r="AD982" t="s">
        <v>193</v>
      </c>
      <c r="AF982">
        <v>2023</v>
      </c>
      <c r="AG982">
        <v>546</v>
      </c>
      <c r="AH982" t="str">
        <f t="shared" si="97"/>
        <v>1</v>
      </c>
      <c r="AI982" t="str">
        <f>"5230043517"</f>
        <v>5230043517</v>
      </c>
      <c r="AJ982" s="1">
        <v>44977</v>
      </c>
      <c r="AL982" s="2">
        <v>11767.25</v>
      </c>
      <c r="AM982" t="str">
        <f>"9080421534"</f>
        <v>9080421534</v>
      </c>
      <c r="AN982">
        <v>2023</v>
      </c>
      <c r="AO982">
        <v>364</v>
      </c>
      <c r="AP982" s="2">
        <v>11767.25</v>
      </c>
      <c r="AQ982">
        <v>0</v>
      </c>
      <c r="AR982" s="2">
        <v>22055.66</v>
      </c>
      <c r="AS982" t="s">
        <v>194</v>
      </c>
      <c r="AT982">
        <v>10697.5</v>
      </c>
      <c r="AU982">
        <v>1069.75</v>
      </c>
      <c r="AV982">
        <v>2023</v>
      </c>
      <c r="AW982">
        <v>243</v>
      </c>
      <c r="AX982">
        <v>670</v>
      </c>
      <c r="AY982">
        <v>0</v>
      </c>
      <c r="AZ982" t="s">
        <v>1694</v>
      </c>
      <c r="BA982">
        <v>11767.25</v>
      </c>
      <c r="BB982" s="1">
        <v>45008</v>
      </c>
    </row>
    <row r="983" spans="1:54" x14ac:dyDescent="0.25">
      <c r="A983">
        <v>2023</v>
      </c>
      <c r="B983">
        <v>464</v>
      </c>
      <c r="C983" s="1">
        <v>45008</v>
      </c>
      <c r="D983">
        <v>2023</v>
      </c>
      <c r="E983">
        <v>2023</v>
      </c>
      <c r="F983">
        <v>14</v>
      </c>
      <c r="H983" t="s">
        <v>852</v>
      </c>
      <c r="I983">
        <v>130</v>
      </c>
      <c r="J983">
        <v>0</v>
      </c>
      <c r="K983" t="s">
        <v>128</v>
      </c>
      <c r="R983" t="s">
        <v>190</v>
      </c>
      <c r="S983" t="str">
        <f t="shared" si="98"/>
        <v>31</v>
      </c>
      <c r="T983" t="s">
        <v>122</v>
      </c>
      <c r="W983" t="s">
        <v>1692</v>
      </c>
      <c r="Y983">
        <v>3344</v>
      </c>
      <c r="Z983" t="s">
        <v>192</v>
      </c>
      <c r="AB983" t="str">
        <f t="shared" si="99"/>
        <v>02616630022</v>
      </c>
      <c r="AC983" t="s">
        <v>116</v>
      </c>
      <c r="AD983" t="s">
        <v>193</v>
      </c>
      <c r="AF983">
        <v>2023</v>
      </c>
      <c r="AG983">
        <v>547</v>
      </c>
      <c r="AH983" t="str">
        <f t="shared" si="97"/>
        <v>1</v>
      </c>
      <c r="AI983" t="str">
        <f>"5230043606"</f>
        <v>5230043606</v>
      </c>
      <c r="AJ983" s="1">
        <v>44977</v>
      </c>
      <c r="AL983" s="2">
        <v>1661.73</v>
      </c>
      <c r="AM983" t="str">
        <f>"9080009272"</f>
        <v>9080009272</v>
      </c>
      <c r="AN983">
        <v>2023</v>
      </c>
      <c r="AO983">
        <v>364</v>
      </c>
      <c r="AP983" s="2">
        <v>1661.73</v>
      </c>
      <c r="AQ983">
        <v>0</v>
      </c>
      <c r="AR983" s="2">
        <v>22055.66</v>
      </c>
      <c r="AS983" t="s">
        <v>194</v>
      </c>
      <c r="AT983">
        <v>1510.66</v>
      </c>
      <c r="AU983">
        <v>151.07</v>
      </c>
      <c r="AV983">
        <v>2023</v>
      </c>
      <c r="AW983">
        <v>243</v>
      </c>
      <c r="AX983">
        <v>670</v>
      </c>
      <c r="AY983">
        <v>0</v>
      </c>
      <c r="AZ983" t="s">
        <v>1694</v>
      </c>
      <c r="BA983">
        <v>1661.73</v>
      </c>
      <c r="BB983" s="1">
        <v>45008</v>
      </c>
    </row>
    <row r="984" spans="1:54" x14ac:dyDescent="0.25">
      <c r="A984">
        <v>2023</v>
      </c>
      <c r="B984">
        <v>464</v>
      </c>
      <c r="C984" s="1">
        <v>45008</v>
      </c>
      <c r="D984">
        <v>2023</v>
      </c>
      <c r="E984">
        <v>2023</v>
      </c>
      <c r="F984">
        <v>14</v>
      </c>
      <c r="H984" t="s">
        <v>852</v>
      </c>
      <c r="I984">
        <v>130</v>
      </c>
      <c r="J984">
        <v>0</v>
      </c>
      <c r="K984" t="s">
        <v>128</v>
      </c>
      <c r="R984" t="s">
        <v>190</v>
      </c>
      <c r="S984" t="str">
        <f t="shared" si="98"/>
        <v>31</v>
      </c>
      <c r="T984" t="s">
        <v>122</v>
      </c>
      <c r="W984" t="s">
        <v>1692</v>
      </c>
      <c r="Y984">
        <v>3344</v>
      </c>
      <c r="Z984" t="s">
        <v>192</v>
      </c>
      <c r="AB984" t="str">
        <f t="shared" si="99"/>
        <v>02616630022</v>
      </c>
      <c r="AC984" t="s">
        <v>116</v>
      </c>
      <c r="AD984" t="s">
        <v>193</v>
      </c>
      <c r="AF984">
        <v>2023</v>
      </c>
      <c r="AG984">
        <v>549</v>
      </c>
      <c r="AH984" t="str">
        <f t="shared" si="97"/>
        <v>1</v>
      </c>
      <c r="AI984" t="str">
        <f>"5230043505"</f>
        <v>5230043505</v>
      </c>
      <c r="AJ984" s="1">
        <v>44977</v>
      </c>
      <c r="AL984" s="2">
        <v>1394.84</v>
      </c>
      <c r="AM984" t="str">
        <f>"9080236846"</f>
        <v>9080236846</v>
      </c>
      <c r="AN984">
        <v>2023</v>
      </c>
      <c r="AO984">
        <v>364</v>
      </c>
      <c r="AP984" s="2">
        <v>1394.84</v>
      </c>
      <c r="AQ984">
        <v>0</v>
      </c>
      <c r="AR984" s="2">
        <v>22055.66</v>
      </c>
      <c r="AS984" t="s">
        <v>194</v>
      </c>
      <c r="AT984">
        <v>1268.04</v>
      </c>
      <c r="AU984">
        <v>126.8</v>
      </c>
      <c r="AV984">
        <v>2023</v>
      </c>
      <c r="AW984">
        <v>243</v>
      </c>
      <c r="AX984">
        <v>670</v>
      </c>
      <c r="AY984">
        <v>0</v>
      </c>
      <c r="AZ984" t="s">
        <v>1694</v>
      </c>
      <c r="BA984">
        <v>1394.84</v>
      </c>
      <c r="BB984" s="1">
        <v>45008</v>
      </c>
    </row>
    <row r="985" spans="1:54" x14ac:dyDescent="0.25">
      <c r="A985">
        <v>2023</v>
      </c>
      <c r="B985">
        <v>464</v>
      </c>
      <c r="C985" s="1">
        <v>45008</v>
      </c>
      <c r="D985">
        <v>2023</v>
      </c>
      <c r="E985">
        <v>2023</v>
      </c>
      <c r="F985">
        <v>14</v>
      </c>
      <c r="H985" t="s">
        <v>852</v>
      </c>
      <c r="I985">
        <v>130</v>
      </c>
      <c r="J985">
        <v>0</v>
      </c>
      <c r="K985" t="s">
        <v>128</v>
      </c>
      <c r="R985" t="s">
        <v>190</v>
      </c>
      <c r="S985" t="str">
        <f t="shared" si="98"/>
        <v>31</v>
      </c>
      <c r="T985" t="s">
        <v>122</v>
      </c>
      <c r="W985" t="s">
        <v>1692</v>
      </c>
      <c r="Y985">
        <v>3344</v>
      </c>
      <c r="Z985" t="s">
        <v>192</v>
      </c>
      <c r="AB985" t="str">
        <f t="shared" si="99"/>
        <v>02616630022</v>
      </c>
      <c r="AC985" t="s">
        <v>116</v>
      </c>
      <c r="AD985" t="s">
        <v>193</v>
      </c>
      <c r="AF985">
        <v>2023</v>
      </c>
      <c r="AG985">
        <v>550</v>
      </c>
      <c r="AH985" t="str">
        <f t="shared" si="97"/>
        <v>1</v>
      </c>
      <c r="AI985" t="str">
        <f>"5230043626"</f>
        <v>5230043626</v>
      </c>
      <c r="AJ985" s="1">
        <v>44977</v>
      </c>
      <c r="AL985">
        <v>463.68</v>
      </c>
      <c r="AM985" t="str">
        <f>"9080010093"</f>
        <v>9080010093</v>
      </c>
      <c r="AN985">
        <v>2023</v>
      </c>
      <c r="AO985">
        <v>364</v>
      </c>
      <c r="AP985">
        <v>463.68</v>
      </c>
      <c r="AQ985">
        <v>0</v>
      </c>
      <c r="AR985" s="2">
        <v>22055.66</v>
      </c>
      <c r="AS985" t="s">
        <v>194</v>
      </c>
      <c r="AT985">
        <v>421.53</v>
      </c>
      <c r="AU985">
        <v>42.15</v>
      </c>
      <c r="AV985">
        <v>2023</v>
      </c>
      <c r="AW985">
        <v>243</v>
      </c>
      <c r="AX985">
        <v>670</v>
      </c>
      <c r="AY985">
        <v>0</v>
      </c>
      <c r="AZ985" t="s">
        <v>1694</v>
      </c>
      <c r="BA985">
        <v>463.68</v>
      </c>
      <c r="BB985" s="1">
        <v>45008</v>
      </c>
    </row>
    <row r="986" spans="1:54" x14ac:dyDescent="0.25">
      <c r="A986">
        <v>2023</v>
      </c>
      <c r="B986">
        <v>464</v>
      </c>
      <c r="C986" s="1">
        <v>45008</v>
      </c>
      <c r="D986">
        <v>2023</v>
      </c>
      <c r="E986">
        <v>2023</v>
      </c>
      <c r="F986">
        <v>14</v>
      </c>
      <c r="H986" t="s">
        <v>852</v>
      </c>
      <c r="I986">
        <v>130</v>
      </c>
      <c r="J986">
        <v>0</v>
      </c>
      <c r="K986" t="s">
        <v>128</v>
      </c>
      <c r="R986" t="s">
        <v>190</v>
      </c>
      <c r="S986" t="str">
        <f t="shared" si="98"/>
        <v>31</v>
      </c>
      <c r="T986" t="s">
        <v>122</v>
      </c>
      <c r="W986" t="s">
        <v>1692</v>
      </c>
      <c r="Y986">
        <v>3344</v>
      </c>
      <c r="Z986" t="s">
        <v>192</v>
      </c>
      <c r="AB986" t="str">
        <f t="shared" si="99"/>
        <v>02616630022</v>
      </c>
      <c r="AC986" t="s">
        <v>116</v>
      </c>
      <c r="AD986" t="s">
        <v>193</v>
      </c>
      <c r="AF986">
        <v>2023</v>
      </c>
      <c r="AG986">
        <v>551</v>
      </c>
      <c r="AH986" t="str">
        <f t="shared" si="97"/>
        <v>1</v>
      </c>
      <c r="AI986" t="str">
        <f>"5230043604"</f>
        <v>5230043604</v>
      </c>
      <c r="AJ986" s="1">
        <v>44977</v>
      </c>
      <c r="AL986">
        <v>639.35</v>
      </c>
      <c r="AM986" t="str">
        <f>"9079985691"</f>
        <v>9079985691</v>
      </c>
      <c r="AN986">
        <v>2023</v>
      </c>
      <c r="AO986">
        <v>364</v>
      </c>
      <c r="AP986">
        <v>639.35</v>
      </c>
      <c r="AQ986">
        <v>0</v>
      </c>
      <c r="AR986" s="2">
        <v>22055.66</v>
      </c>
      <c r="AS986" t="s">
        <v>194</v>
      </c>
      <c r="AT986">
        <v>581.23</v>
      </c>
      <c r="AU986">
        <v>58.12</v>
      </c>
      <c r="AV986">
        <v>2023</v>
      </c>
      <c r="AW986">
        <v>243</v>
      </c>
      <c r="AX986">
        <v>670</v>
      </c>
      <c r="AY986">
        <v>0</v>
      </c>
      <c r="AZ986" t="s">
        <v>1694</v>
      </c>
      <c r="BA986">
        <v>639.35</v>
      </c>
      <c r="BB986" s="1">
        <v>45008</v>
      </c>
    </row>
    <row r="987" spans="1:54" x14ac:dyDescent="0.25">
      <c r="A987">
        <v>2023</v>
      </c>
      <c r="B987">
        <v>464</v>
      </c>
      <c r="C987" s="1">
        <v>45008</v>
      </c>
      <c r="D987">
        <v>2023</v>
      </c>
      <c r="E987">
        <v>2023</v>
      </c>
      <c r="F987">
        <v>14</v>
      </c>
      <c r="H987" t="s">
        <v>852</v>
      </c>
      <c r="I987">
        <v>130</v>
      </c>
      <c r="J987">
        <v>0</v>
      </c>
      <c r="K987" t="s">
        <v>128</v>
      </c>
      <c r="R987" t="s">
        <v>190</v>
      </c>
      <c r="S987" t="str">
        <f t="shared" si="98"/>
        <v>31</v>
      </c>
      <c r="T987" t="s">
        <v>122</v>
      </c>
      <c r="W987" t="s">
        <v>1692</v>
      </c>
      <c r="Y987">
        <v>3344</v>
      </c>
      <c r="Z987" t="s">
        <v>192</v>
      </c>
      <c r="AB987" t="str">
        <f t="shared" si="99"/>
        <v>02616630022</v>
      </c>
      <c r="AC987" t="s">
        <v>116</v>
      </c>
      <c r="AD987" t="s">
        <v>193</v>
      </c>
      <c r="AF987">
        <v>2023</v>
      </c>
      <c r="AG987">
        <v>554</v>
      </c>
      <c r="AH987" t="str">
        <f t="shared" si="97"/>
        <v>1</v>
      </c>
      <c r="AI987" t="str">
        <f>"5230043501"</f>
        <v>5230043501</v>
      </c>
      <c r="AJ987" s="1">
        <v>44977</v>
      </c>
      <c r="AL987">
        <v>761.35</v>
      </c>
      <c r="AM987" t="str">
        <f>"9080256738"</f>
        <v>9080256738</v>
      </c>
      <c r="AN987">
        <v>2023</v>
      </c>
      <c r="AO987">
        <v>364</v>
      </c>
      <c r="AP987">
        <v>761.35</v>
      </c>
      <c r="AQ987">
        <v>0</v>
      </c>
      <c r="AR987" s="2">
        <v>22055.66</v>
      </c>
      <c r="AS987" t="s">
        <v>194</v>
      </c>
      <c r="AT987">
        <v>692.14</v>
      </c>
      <c r="AU987">
        <v>69.209999999999994</v>
      </c>
      <c r="AV987">
        <v>2023</v>
      </c>
      <c r="AW987">
        <v>243</v>
      </c>
      <c r="AX987">
        <v>670</v>
      </c>
      <c r="AY987">
        <v>0</v>
      </c>
      <c r="AZ987" t="s">
        <v>1694</v>
      </c>
      <c r="BA987">
        <v>761.35</v>
      </c>
      <c r="BB987" s="1">
        <v>45008</v>
      </c>
    </row>
    <row r="988" spans="1:54" x14ac:dyDescent="0.25">
      <c r="A988">
        <v>2023</v>
      </c>
      <c r="B988">
        <v>464</v>
      </c>
      <c r="C988" s="1">
        <v>45008</v>
      </c>
      <c r="D988">
        <v>2023</v>
      </c>
      <c r="E988">
        <v>2023</v>
      </c>
      <c r="F988">
        <v>14</v>
      </c>
      <c r="H988" t="s">
        <v>852</v>
      </c>
      <c r="I988">
        <v>130</v>
      </c>
      <c r="J988">
        <v>0</v>
      </c>
      <c r="K988" t="s">
        <v>128</v>
      </c>
      <c r="R988" t="s">
        <v>190</v>
      </c>
      <c r="S988" t="str">
        <f t="shared" si="98"/>
        <v>31</v>
      </c>
      <c r="T988" t="s">
        <v>122</v>
      </c>
      <c r="W988" t="s">
        <v>1692</v>
      </c>
      <c r="Y988">
        <v>3344</v>
      </c>
      <c r="Z988" t="s">
        <v>192</v>
      </c>
      <c r="AB988" t="str">
        <f t="shared" si="99"/>
        <v>02616630022</v>
      </c>
      <c r="AC988" t="s">
        <v>116</v>
      </c>
      <c r="AD988" t="s">
        <v>193</v>
      </c>
      <c r="AF988">
        <v>2023</v>
      </c>
      <c r="AG988">
        <v>556</v>
      </c>
      <c r="AH988" t="str">
        <f t="shared" si="97"/>
        <v>1</v>
      </c>
      <c r="AI988" t="str">
        <f>"5230043504"</f>
        <v>5230043504</v>
      </c>
      <c r="AJ988" s="1">
        <v>44977</v>
      </c>
      <c r="AL988" s="2">
        <v>3693.14</v>
      </c>
      <c r="AM988" t="str">
        <f>"9080256100"</f>
        <v>9080256100</v>
      </c>
      <c r="AN988">
        <v>2023</v>
      </c>
      <c r="AO988">
        <v>364</v>
      </c>
      <c r="AP988" s="2">
        <v>3693.14</v>
      </c>
      <c r="AQ988">
        <v>0</v>
      </c>
      <c r="AR988" s="2">
        <v>22055.66</v>
      </c>
      <c r="AS988" t="s">
        <v>194</v>
      </c>
      <c r="AT988">
        <v>3357.4</v>
      </c>
      <c r="AU988">
        <v>335.74</v>
      </c>
      <c r="AV988">
        <v>2023</v>
      </c>
      <c r="AW988">
        <v>243</v>
      </c>
      <c r="AX988">
        <v>670</v>
      </c>
      <c r="AY988">
        <v>0</v>
      </c>
      <c r="AZ988" t="s">
        <v>1694</v>
      </c>
      <c r="BA988">
        <v>3693.14</v>
      </c>
      <c r="BB988" s="1">
        <v>45008</v>
      </c>
    </row>
    <row r="989" spans="1:54" x14ac:dyDescent="0.25">
      <c r="A989">
        <v>2023</v>
      </c>
      <c r="B989">
        <v>464</v>
      </c>
      <c r="C989" s="1">
        <v>45008</v>
      </c>
      <c r="D989">
        <v>2023</v>
      </c>
      <c r="E989">
        <v>2023</v>
      </c>
      <c r="F989">
        <v>14</v>
      </c>
      <c r="H989" t="s">
        <v>852</v>
      </c>
      <c r="I989">
        <v>130</v>
      </c>
      <c r="J989">
        <v>0</v>
      </c>
      <c r="K989" t="s">
        <v>128</v>
      </c>
      <c r="R989" t="s">
        <v>190</v>
      </c>
      <c r="S989" t="str">
        <f t="shared" si="98"/>
        <v>31</v>
      </c>
      <c r="T989" t="s">
        <v>122</v>
      </c>
      <c r="W989" t="s">
        <v>1692</v>
      </c>
      <c r="Y989">
        <v>3344</v>
      </c>
      <c r="Z989" t="s">
        <v>192</v>
      </c>
      <c r="AB989" t="str">
        <f t="shared" si="99"/>
        <v>02616630022</v>
      </c>
      <c r="AC989" t="s">
        <v>116</v>
      </c>
      <c r="AD989" t="s">
        <v>193</v>
      </c>
      <c r="AF989">
        <v>2023</v>
      </c>
      <c r="AG989">
        <v>557</v>
      </c>
      <c r="AH989" t="str">
        <f t="shared" si="97"/>
        <v>1</v>
      </c>
      <c r="AI989" t="str">
        <f>"5230043600"</f>
        <v>5230043600</v>
      </c>
      <c r="AJ989" s="1">
        <v>44977</v>
      </c>
      <c r="AL989" s="2">
        <v>2055.59</v>
      </c>
      <c r="AM989" t="str">
        <f>"9080006589"</f>
        <v>9080006589</v>
      </c>
      <c r="AN989">
        <v>2023</v>
      </c>
      <c r="AO989">
        <v>364</v>
      </c>
      <c r="AP989" s="2">
        <v>2055.59</v>
      </c>
      <c r="AQ989">
        <v>0</v>
      </c>
      <c r="AR989" s="2">
        <v>22055.66</v>
      </c>
      <c r="AS989" t="s">
        <v>194</v>
      </c>
      <c r="AT989">
        <v>1868.72</v>
      </c>
      <c r="AU989">
        <v>186.87</v>
      </c>
      <c r="AV989">
        <v>2023</v>
      </c>
      <c r="AW989">
        <v>243</v>
      </c>
      <c r="AX989">
        <v>670</v>
      </c>
      <c r="AY989">
        <v>0</v>
      </c>
      <c r="AZ989" t="s">
        <v>1694</v>
      </c>
      <c r="BA989">
        <v>2055.59</v>
      </c>
      <c r="BB989" s="1">
        <v>45008</v>
      </c>
    </row>
    <row r="990" spans="1:54" x14ac:dyDescent="0.25">
      <c r="A990">
        <v>2023</v>
      </c>
      <c r="B990">
        <v>464</v>
      </c>
      <c r="C990" s="1">
        <v>45008</v>
      </c>
      <c r="D990">
        <v>2023</v>
      </c>
      <c r="E990">
        <v>2023</v>
      </c>
      <c r="F990">
        <v>14</v>
      </c>
      <c r="H990" t="s">
        <v>852</v>
      </c>
      <c r="I990">
        <v>130</v>
      </c>
      <c r="J990">
        <v>0</v>
      </c>
      <c r="K990" t="s">
        <v>128</v>
      </c>
      <c r="R990" t="s">
        <v>190</v>
      </c>
      <c r="S990" t="str">
        <f t="shared" si="98"/>
        <v>31</v>
      </c>
      <c r="T990" t="s">
        <v>122</v>
      </c>
      <c r="W990" t="s">
        <v>1692</v>
      </c>
      <c r="Y990">
        <v>3344</v>
      </c>
      <c r="Z990" t="s">
        <v>192</v>
      </c>
      <c r="AB990" t="str">
        <f t="shared" si="99"/>
        <v>02616630022</v>
      </c>
      <c r="AC990" t="s">
        <v>116</v>
      </c>
      <c r="AD990" t="s">
        <v>193</v>
      </c>
      <c r="AF990">
        <v>2023</v>
      </c>
      <c r="AG990">
        <v>559</v>
      </c>
      <c r="AH990" t="str">
        <f t="shared" si="97"/>
        <v>1</v>
      </c>
      <c r="AI990" t="str">
        <f>"5230043509"</f>
        <v>5230043509</v>
      </c>
      <c r="AJ990" s="1">
        <v>44977</v>
      </c>
      <c r="AL990" s="2">
        <v>4172.1400000000003</v>
      </c>
      <c r="AM990" t="str">
        <f>"9080260378"</f>
        <v>9080260378</v>
      </c>
      <c r="AN990">
        <v>2023</v>
      </c>
      <c r="AO990">
        <v>364</v>
      </c>
      <c r="AP990" s="2">
        <v>4172.1400000000003</v>
      </c>
      <c r="AQ990">
        <v>0</v>
      </c>
      <c r="AR990" s="2">
        <v>22055.66</v>
      </c>
      <c r="AS990" t="s">
        <v>194</v>
      </c>
      <c r="AT990">
        <v>3792.85</v>
      </c>
      <c r="AU990">
        <v>379.29</v>
      </c>
      <c r="AV990">
        <v>2023</v>
      </c>
      <c r="AW990">
        <v>243</v>
      </c>
      <c r="AX990">
        <v>670</v>
      </c>
      <c r="AY990">
        <v>0</v>
      </c>
      <c r="AZ990" t="s">
        <v>1694</v>
      </c>
      <c r="BA990">
        <v>4172.1400000000003</v>
      </c>
      <c r="BB990" s="1">
        <v>45008</v>
      </c>
    </row>
    <row r="991" spans="1:54" x14ac:dyDescent="0.25">
      <c r="A991">
        <v>2023</v>
      </c>
      <c r="B991">
        <v>464</v>
      </c>
      <c r="C991" s="1">
        <v>45008</v>
      </c>
      <c r="D991">
        <v>2023</v>
      </c>
      <c r="E991">
        <v>2023</v>
      </c>
      <c r="F991">
        <v>14</v>
      </c>
      <c r="H991" t="s">
        <v>852</v>
      </c>
      <c r="I991">
        <v>130</v>
      </c>
      <c r="J991">
        <v>0</v>
      </c>
      <c r="K991" t="s">
        <v>128</v>
      </c>
      <c r="R991" t="s">
        <v>190</v>
      </c>
      <c r="S991" t="str">
        <f t="shared" si="98"/>
        <v>31</v>
      </c>
      <c r="T991" t="s">
        <v>122</v>
      </c>
      <c r="W991" t="s">
        <v>1692</v>
      </c>
      <c r="Y991">
        <v>3344</v>
      </c>
      <c r="Z991" t="s">
        <v>192</v>
      </c>
      <c r="AB991" t="str">
        <f t="shared" si="99"/>
        <v>02616630022</v>
      </c>
      <c r="AC991" t="s">
        <v>116</v>
      </c>
      <c r="AD991" t="s">
        <v>193</v>
      </c>
      <c r="AF991">
        <v>2023</v>
      </c>
      <c r="AG991">
        <v>560</v>
      </c>
      <c r="AH991" t="str">
        <f t="shared" si="97"/>
        <v>1</v>
      </c>
      <c r="AI991" t="str">
        <f>"5230043502"</f>
        <v>5230043502</v>
      </c>
      <c r="AJ991" s="1">
        <v>44977</v>
      </c>
      <c r="AL991" s="2">
        <v>2344.56</v>
      </c>
      <c r="AM991" t="str">
        <f>"9080261131"</f>
        <v>9080261131</v>
      </c>
      <c r="AN991">
        <v>2023</v>
      </c>
      <c r="AO991">
        <v>364</v>
      </c>
      <c r="AP991" s="2">
        <v>2344.56</v>
      </c>
      <c r="AQ991">
        <v>0</v>
      </c>
      <c r="AR991" s="2">
        <v>22055.66</v>
      </c>
      <c r="AS991" t="s">
        <v>194</v>
      </c>
      <c r="AT991">
        <v>2131.42</v>
      </c>
      <c r="AU991">
        <v>213.14</v>
      </c>
      <c r="AV991">
        <v>2023</v>
      </c>
      <c r="AW991">
        <v>243</v>
      </c>
      <c r="AX991">
        <v>670</v>
      </c>
      <c r="AY991">
        <v>0</v>
      </c>
      <c r="AZ991" t="s">
        <v>1694</v>
      </c>
      <c r="BA991">
        <v>2344.56</v>
      </c>
      <c r="BB991" s="1">
        <v>45008</v>
      </c>
    </row>
    <row r="992" spans="1:54" x14ac:dyDescent="0.25">
      <c r="A992">
        <v>2023</v>
      </c>
      <c r="B992">
        <v>464</v>
      </c>
      <c r="C992" s="1">
        <v>45008</v>
      </c>
      <c r="D992">
        <v>2023</v>
      </c>
      <c r="E992">
        <v>2023</v>
      </c>
      <c r="F992">
        <v>14</v>
      </c>
      <c r="H992" t="s">
        <v>852</v>
      </c>
      <c r="I992">
        <v>130</v>
      </c>
      <c r="J992">
        <v>0</v>
      </c>
      <c r="K992" t="s">
        <v>128</v>
      </c>
      <c r="R992" t="s">
        <v>190</v>
      </c>
      <c r="S992" t="str">
        <f t="shared" si="98"/>
        <v>31</v>
      </c>
      <c r="T992" t="s">
        <v>122</v>
      </c>
      <c r="W992" t="s">
        <v>1692</v>
      </c>
      <c r="Y992">
        <v>3344</v>
      </c>
      <c r="Z992" t="s">
        <v>192</v>
      </c>
      <c r="AB992" t="str">
        <f t="shared" si="99"/>
        <v>02616630022</v>
      </c>
      <c r="AC992" t="s">
        <v>116</v>
      </c>
      <c r="AD992" t="s">
        <v>193</v>
      </c>
      <c r="AF992">
        <v>2023</v>
      </c>
      <c r="AG992">
        <v>561</v>
      </c>
      <c r="AH992" t="str">
        <f t="shared" si="97"/>
        <v>1</v>
      </c>
      <c r="AI992" t="str">
        <f>"5230043630"</f>
        <v>5230043630</v>
      </c>
      <c r="AJ992" s="1">
        <v>44977</v>
      </c>
      <c r="AL992" s="2">
        <v>1613.36</v>
      </c>
      <c r="AM992" t="str">
        <f>"9080007297"</f>
        <v>9080007297</v>
      </c>
      <c r="AN992">
        <v>2023</v>
      </c>
      <c r="AO992">
        <v>364</v>
      </c>
      <c r="AP992" s="2">
        <v>1613.36</v>
      </c>
      <c r="AQ992">
        <v>0</v>
      </c>
      <c r="AR992" s="2">
        <v>22055.66</v>
      </c>
      <c r="AS992" t="s">
        <v>194</v>
      </c>
      <c r="AT992">
        <v>1466.69</v>
      </c>
      <c r="AU992">
        <v>146.66999999999999</v>
      </c>
      <c r="AV992">
        <v>2023</v>
      </c>
      <c r="AW992">
        <v>243</v>
      </c>
      <c r="AX992">
        <v>670</v>
      </c>
      <c r="AY992">
        <v>0</v>
      </c>
      <c r="AZ992" t="s">
        <v>1694</v>
      </c>
      <c r="BA992">
        <v>1613.36</v>
      </c>
      <c r="BB992" s="1">
        <v>45008</v>
      </c>
    </row>
    <row r="993" spans="1:54" x14ac:dyDescent="0.25">
      <c r="A993">
        <v>2023</v>
      </c>
      <c r="B993">
        <v>464</v>
      </c>
      <c r="C993" s="1">
        <v>45008</v>
      </c>
      <c r="D993">
        <v>2023</v>
      </c>
      <c r="E993">
        <v>2023</v>
      </c>
      <c r="F993">
        <v>14</v>
      </c>
      <c r="H993" t="s">
        <v>852</v>
      </c>
      <c r="I993">
        <v>130</v>
      </c>
      <c r="J993">
        <v>0</v>
      </c>
      <c r="K993" t="s">
        <v>128</v>
      </c>
      <c r="R993" t="s">
        <v>190</v>
      </c>
      <c r="S993" t="str">
        <f t="shared" si="98"/>
        <v>31</v>
      </c>
      <c r="T993" t="s">
        <v>122</v>
      </c>
      <c r="W993" t="s">
        <v>1692</v>
      </c>
      <c r="Y993">
        <v>3344</v>
      </c>
      <c r="Z993" t="s">
        <v>192</v>
      </c>
      <c r="AB993" t="str">
        <f t="shared" si="99"/>
        <v>02616630022</v>
      </c>
      <c r="AC993" t="s">
        <v>116</v>
      </c>
      <c r="AD993" t="s">
        <v>193</v>
      </c>
      <c r="AF993">
        <v>2023</v>
      </c>
      <c r="AG993">
        <v>562</v>
      </c>
      <c r="AH993" t="str">
        <f t="shared" si="97"/>
        <v>1</v>
      </c>
      <c r="AI993" t="str">
        <f>"5230043557"</f>
        <v>5230043557</v>
      </c>
      <c r="AJ993" s="1">
        <v>44977</v>
      </c>
      <c r="AL993">
        <v>167.27</v>
      </c>
      <c r="AM993" t="str">
        <f>"9080205260"</f>
        <v>9080205260</v>
      </c>
      <c r="AN993">
        <v>2023</v>
      </c>
      <c r="AO993">
        <v>364</v>
      </c>
      <c r="AP993">
        <v>167.27</v>
      </c>
      <c r="AQ993">
        <v>0</v>
      </c>
      <c r="AR993" s="2">
        <v>22055.66</v>
      </c>
      <c r="AS993" t="s">
        <v>194</v>
      </c>
      <c r="AT993">
        <v>152.06</v>
      </c>
      <c r="AU993">
        <v>15.21</v>
      </c>
      <c r="AV993">
        <v>2023</v>
      </c>
      <c r="AW993">
        <v>243</v>
      </c>
      <c r="AX993">
        <v>670</v>
      </c>
      <c r="AY993">
        <v>0</v>
      </c>
      <c r="AZ993" t="s">
        <v>1694</v>
      </c>
      <c r="BA993">
        <v>167.27</v>
      </c>
      <c r="BB993" s="1">
        <v>45008</v>
      </c>
    </row>
    <row r="994" spans="1:54" x14ac:dyDescent="0.25">
      <c r="A994">
        <v>2023</v>
      </c>
      <c r="B994">
        <v>464</v>
      </c>
      <c r="C994" s="1">
        <v>45008</v>
      </c>
      <c r="D994">
        <v>2023</v>
      </c>
      <c r="E994">
        <v>2023</v>
      </c>
      <c r="F994">
        <v>14</v>
      </c>
      <c r="H994" t="s">
        <v>852</v>
      </c>
      <c r="I994">
        <v>130</v>
      </c>
      <c r="J994">
        <v>0</v>
      </c>
      <c r="K994" t="s">
        <v>128</v>
      </c>
      <c r="R994" t="s">
        <v>190</v>
      </c>
      <c r="S994" t="str">
        <f t="shared" si="98"/>
        <v>31</v>
      </c>
      <c r="T994" t="s">
        <v>122</v>
      </c>
      <c r="W994" t="s">
        <v>1692</v>
      </c>
      <c r="Y994">
        <v>3344</v>
      </c>
      <c r="Z994" t="s">
        <v>192</v>
      </c>
      <c r="AB994" t="str">
        <f t="shared" si="99"/>
        <v>02616630022</v>
      </c>
      <c r="AC994" t="s">
        <v>116</v>
      </c>
      <c r="AD994" t="s">
        <v>193</v>
      </c>
      <c r="AF994">
        <v>2023</v>
      </c>
      <c r="AG994">
        <v>563</v>
      </c>
      <c r="AH994" t="str">
        <f t="shared" si="97"/>
        <v>1</v>
      </c>
      <c r="AI994" t="str">
        <f>"5230043587"</f>
        <v>5230043587</v>
      </c>
      <c r="AJ994" s="1">
        <v>44977</v>
      </c>
      <c r="AL994">
        <v>369.17</v>
      </c>
      <c r="AM994" t="str">
        <f>"9080201167"</f>
        <v>9080201167</v>
      </c>
      <c r="AN994">
        <v>2023</v>
      </c>
      <c r="AO994">
        <v>364</v>
      </c>
      <c r="AP994">
        <v>369.17</v>
      </c>
      <c r="AQ994">
        <v>0</v>
      </c>
      <c r="AR994" s="2">
        <v>22055.66</v>
      </c>
      <c r="AS994" t="s">
        <v>194</v>
      </c>
      <c r="AT994">
        <v>335.61</v>
      </c>
      <c r="AU994">
        <v>33.56</v>
      </c>
      <c r="AV994">
        <v>2023</v>
      </c>
      <c r="AW994">
        <v>243</v>
      </c>
      <c r="AX994">
        <v>670</v>
      </c>
      <c r="AY994">
        <v>0</v>
      </c>
      <c r="AZ994" t="s">
        <v>1694</v>
      </c>
      <c r="BA994">
        <v>369.17</v>
      </c>
      <c r="BB994" s="1">
        <v>45008</v>
      </c>
    </row>
    <row r="995" spans="1:54" x14ac:dyDescent="0.25">
      <c r="A995">
        <v>2023</v>
      </c>
      <c r="B995">
        <v>464</v>
      </c>
      <c r="C995" s="1">
        <v>45008</v>
      </c>
      <c r="D995">
        <v>2023</v>
      </c>
      <c r="E995">
        <v>2023</v>
      </c>
      <c r="F995">
        <v>14</v>
      </c>
      <c r="H995" t="s">
        <v>852</v>
      </c>
      <c r="I995">
        <v>130</v>
      </c>
      <c r="J995">
        <v>0</v>
      </c>
      <c r="K995" t="s">
        <v>128</v>
      </c>
      <c r="R995" t="s">
        <v>190</v>
      </c>
      <c r="S995" t="str">
        <f t="shared" si="98"/>
        <v>31</v>
      </c>
      <c r="T995" t="s">
        <v>122</v>
      </c>
      <c r="W995" t="s">
        <v>1692</v>
      </c>
      <c r="Y995">
        <v>3344</v>
      </c>
      <c r="Z995" t="s">
        <v>192</v>
      </c>
      <c r="AB995" t="str">
        <f t="shared" si="99"/>
        <v>02616630022</v>
      </c>
      <c r="AC995" t="s">
        <v>116</v>
      </c>
      <c r="AD995" t="s">
        <v>193</v>
      </c>
      <c r="AF995">
        <v>2023</v>
      </c>
      <c r="AG995">
        <v>564</v>
      </c>
      <c r="AH995" t="str">
        <f t="shared" si="97"/>
        <v>1</v>
      </c>
      <c r="AI995" t="str">
        <f>"5230043546"</f>
        <v>5230043546</v>
      </c>
      <c r="AJ995" s="1">
        <v>44977</v>
      </c>
      <c r="AL995" s="2">
        <v>4379.2700000000004</v>
      </c>
      <c r="AM995" t="str">
        <f>"9080201245"</f>
        <v>9080201245</v>
      </c>
      <c r="AN995">
        <v>2023</v>
      </c>
      <c r="AO995">
        <v>364</v>
      </c>
      <c r="AP995" s="2">
        <v>4379.2700000000004</v>
      </c>
      <c r="AQ995">
        <v>0</v>
      </c>
      <c r="AR995" s="2">
        <v>22055.66</v>
      </c>
      <c r="AS995" t="s">
        <v>194</v>
      </c>
      <c r="AT995">
        <v>3981.15</v>
      </c>
      <c r="AU995">
        <v>398.12</v>
      </c>
      <c r="AV995">
        <v>2023</v>
      </c>
      <c r="AW995">
        <v>243</v>
      </c>
      <c r="AX995">
        <v>670</v>
      </c>
      <c r="AY995">
        <v>0</v>
      </c>
      <c r="AZ995" t="s">
        <v>1694</v>
      </c>
      <c r="BA995">
        <v>4379.2700000000004</v>
      </c>
      <c r="BB995" s="1">
        <v>45008</v>
      </c>
    </row>
    <row r="996" spans="1:54" x14ac:dyDescent="0.25">
      <c r="A996">
        <v>2023</v>
      </c>
      <c r="B996">
        <v>464</v>
      </c>
      <c r="C996" s="1">
        <v>45008</v>
      </c>
      <c r="D996">
        <v>2023</v>
      </c>
      <c r="E996">
        <v>2023</v>
      </c>
      <c r="F996">
        <v>14</v>
      </c>
      <c r="H996" t="s">
        <v>852</v>
      </c>
      <c r="I996">
        <v>130</v>
      </c>
      <c r="J996">
        <v>0</v>
      </c>
      <c r="K996" t="s">
        <v>128</v>
      </c>
      <c r="R996" t="s">
        <v>190</v>
      </c>
      <c r="S996" t="str">
        <f t="shared" si="98"/>
        <v>31</v>
      </c>
      <c r="T996" t="s">
        <v>122</v>
      </c>
      <c r="W996" t="s">
        <v>1692</v>
      </c>
      <c r="Y996">
        <v>3344</v>
      </c>
      <c r="Z996" t="s">
        <v>192</v>
      </c>
      <c r="AB996" t="str">
        <f t="shared" si="99"/>
        <v>02616630022</v>
      </c>
      <c r="AC996" t="s">
        <v>116</v>
      </c>
      <c r="AD996" t="s">
        <v>193</v>
      </c>
      <c r="AF996">
        <v>2023</v>
      </c>
      <c r="AG996">
        <v>566</v>
      </c>
      <c r="AH996" t="str">
        <f t="shared" si="97"/>
        <v>1</v>
      </c>
      <c r="AI996" t="str">
        <f>"5230043570"</f>
        <v>5230043570</v>
      </c>
      <c r="AJ996" s="1">
        <v>44977</v>
      </c>
      <c r="AL996" s="2">
        <v>5782.15</v>
      </c>
      <c r="AM996" t="str">
        <f>"9080204769"</f>
        <v>9080204769</v>
      </c>
      <c r="AN996">
        <v>2023</v>
      </c>
      <c r="AO996">
        <v>364</v>
      </c>
      <c r="AP996" s="2">
        <v>5782.15</v>
      </c>
      <c r="AQ996">
        <v>0</v>
      </c>
      <c r="AR996" s="2">
        <v>22055.66</v>
      </c>
      <c r="AS996" t="s">
        <v>194</v>
      </c>
      <c r="AT996">
        <v>5256.5</v>
      </c>
      <c r="AU996">
        <v>525.65</v>
      </c>
      <c r="AV996">
        <v>2023</v>
      </c>
      <c r="AW996">
        <v>243</v>
      </c>
      <c r="AX996">
        <v>670</v>
      </c>
      <c r="AY996">
        <v>0</v>
      </c>
      <c r="AZ996" t="s">
        <v>1694</v>
      </c>
      <c r="BA996">
        <v>5782.15</v>
      </c>
      <c r="BB996" s="1">
        <v>45008</v>
      </c>
    </row>
    <row r="997" spans="1:54" x14ac:dyDescent="0.25">
      <c r="A997">
        <v>2023</v>
      </c>
      <c r="B997">
        <v>464</v>
      </c>
      <c r="C997" s="1">
        <v>45008</v>
      </c>
      <c r="D997">
        <v>2023</v>
      </c>
      <c r="E997">
        <v>2023</v>
      </c>
      <c r="F997">
        <v>14</v>
      </c>
      <c r="H997" t="s">
        <v>852</v>
      </c>
      <c r="I997">
        <v>130</v>
      </c>
      <c r="J997">
        <v>0</v>
      </c>
      <c r="K997" t="s">
        <v>128</v>
      </c>
      <c r="R997" t="s">
        <v>190</v>
      </c>
      <c r="S997" t="str">
        <f t="shared" si="98"/>
        <v>31</v>
      </c>
      <c r="T997" t="s">
        <v>122</v>
      </c>
      <c r="W997" t="s">
        <v>1692</v>
      </c>
      <c r="Y997">
        <v>3344</v>
      </c>
      <c r="Z997" t="s">
        <v>192</v>
      </c>
      <c r="AB997" t="str">
        <f t="shared" si="99"/>
        <v>02616630022</v>
      </c>
      <c r="AC997" t="s">
        <v>116</v>
      </c>
      <c r="AD997" t="s">
        <v>193</v>
      </c>
      <c r="AF997">
        <v>2023</v>
      </c>
      <c r="AG997">
        <v>567</v>
      </c>
      <c r="AH997" t="str">
        <f t="shared" si="97"/>
        <v>1</v>
      </c>
      <c r="AI997" t="str">
        <f>"5230043576"</f>
        <v>5230043576</v>
      </c>
      <c r="AJ997" s="1">
        <v>44977</v>
      </c>
      <c r="AL997" s="2">
        <v>3701.4</v>
      </c>
      <c r="AM997" t="str">
        <f>"9080263036"</f>
        <v>9080263036</v>
      </c>
      <c r="AN997">
        <v>2023</v>
      </c>
      <c r="AO997">
        <v>364</v>
      </c>
      <c r="AP997" s="2">
        <v>3701.4</v>
      </c>
      <c r="AQ997">
        <v>0</v>
      </c>
      <c r="AR997" s="2">
        <v>22055.66</v>
      </c>
      <c r="AS997" t="s">
        <v>194</v>
      </c>
      <c r="AT997">
        <v>3364.91</v>
      </c>
      <c r="AU997">
        <v>336.49</v>
      </c>
      <c r="AV997">
        <v>2023</v>
      </c>
      <c r="AW997">
        <v>243</v>
      </c>
      <c r="AX997">
        <v>670</v>
      </c>
      <c r="AY997">
        <v>0</v>
      </c>
      <c r="AZ997" t="s">
        <v>1694</v>
      </c>
      <c r="BA997">
        <v>3701.4</v>
      </c>
      <c r="BB997" s="1">
        <v>45008</v>
      </c>
    </row>
    <row r="998" spans="1:54" x14ac:dyDescent="0.25">
      <c r="A998">
        <v>2023</v>
      </c>
      <c r="B998">
        <v>465</v>
      </c>
      <c r="C998" s="1">
        <v>45008</v>
      </c>
      <c r="D998">
        <v>2023</v>
      </c>
      <c r="E998">
        <v>2023</v>
      </c>
      <c r="F998">
        <v>34</v>
      </c>
      <c r="H998" t="s">
        <v>1695</v>
      </c>
      <c r="I998">
        <v>120</v>
      </c>
      <c r="J998">
        <v>0</v>
      </c>
      <c r="K998" t="s">
        <v>120</v>
      </c>
      <c r="R998" t="s">
        <v>1696</v>
      </c>
      <c r="S998" t="str">
        <f t="shared" si="98"/>
        <v>31</v>
      </c>
      <c r="T998" t="s">
        <v>122</v>
      </c>
      <c r="W998" t="s">
        <v>1697</v>
      </c>
      <c r="Y998">
        <v>1573</v>
      </c>
      <c r="Z998" t="s">
        <v>1698</v>
      </c>
      <c r="AB998" t="str">
        <f>"03645040282"</f>
        <v>03645040282</v>
      </c>
      <c r="AC998" t="s">
        <v>116</v>
      </c>
      <c r="AD998" t="s">
        <v>1699</v>
      </c>
      <c r="AF998">
        <v>2023</v>
      </c>
      <c r="AG998">
        <v>302</v>
      </c>
      <c r="AH998" t="str">
        <f t="shared" si="97"/>
        <v>1</v>
      </c>
      <c r="AI998" t="s">
        <v>1700</v>
      </c>
      <c r="AJ998" s="1">
        <v>44952</v>
      </c>
      <c r="AK998" t="s">
        <v>1697</v>
      </c>
      <c r="AL998">
        <v>829.6</v>
      </c>
      <c r="AM998" t="str">
        <f>"8915439506"</f>
        <v>8915439506</v>
      </c>
      <c r="AN998">
        <v>2023</v>
      </c>
      <c r="AO998">
        <v>305</v>
      </c>
      <c r="AP998">
        <v>829.6</v>
      </c>
      <c r="AQ998">
        <v>0</v>
      </c>
      <c r="AR998">
        <v>149.6</v>
      </c>
      <c r="AS998" t="s">
        <v>177</v>
      </c>
      <c r="AT998">
        <v>680</v>
      </c>
      <c r="AU998">
        <v>149.6</v>
      </c>
      <c r="AV998">
        <v>2023</v>
      </c>
      <c r="AW998">
        <v>244</v>
      </c>
      <c r="AX998">
        <v>670</v>
      </c>
      <c r="AY998">
        <v>0</v>
      </c>
      <c r="AZ998" t="s">
        <v>1701</v>
      </c>
      <c r="BA998">
        <v>829.6</v>
      </c>
      <c r="BB998" s="1">
        <v>45008</v>
      </c>
    </row>
    <row r="999" spans="1:54" x14ac:dyDescent="0.25">
      <c r="A999">
        <v>2023</v>
      </c>
      <c r="B999">
        <v>466</v>
      </c>
      <c r="C999" s="1">
        <v>45008</v>
      </c>
      <c r="D999">
        <v>2023</v>
      </c>
      <c r="E999">
        <v>2023</v>
      </c>
      <c r="F999">
        <v>174</v>
      </c>
      <c r="H999" t="s">
        <v>1702</v>
      </c>
      <c r="I999">
        <v>149</v>
      </c>
      <c r="J999">
        <v>0</v>
      </c>
      <c r="K999" t="s">
        <v>277</v>
      </c>
      <c r="R999" t="s">
        <v>1703</v>
      </c>
      <c r="S999" t="str">
        <f t="shared" si="98"/>
        <v>31</v>
      </c>
      <c r="T999" t="s">
        <v>122</v>
      </c>
      <c r="W999" t="s">
        <v>1704</v>
      </c>
      <c r="Y999">
        <v>1043</v>
      </c>
      <c r="Z999" t="s">
        <v>1705</v>
      </c>
      <c r="AB999" t="str">
        <f>"00152230249"</f>
        <v>00152230249</v>
      </c>
      <c r="AC999" t="s">
        <v>116</v>
      </c>
      <c r="AD999" t="s">
        <v>1706</v>
      </c>
      <c r="AF999">
        <v>2023</v>
      </c>
      <c r="AG999">
        <v>663</v>
      </c>
      <c r="AH999" t="str">
        <f t="shared" si="97"/>
        <v>1</v>
      </c>
      <c r="AI999" t="str">
        <f>"23101233"</f>
        <v>23101233</v>
      </c>
      <c r="AJ999" s="1">
        <v>45005</v>
      </c>
      <c r="AK999" t="s">
        <v>1704</v>
      </c>
      <c r="AL999" s="2">
        <v>1424.05</v>
      </c>
      <c r="AM999" t="str">
        <f>"9291122522"</f>
        <v>9291122522</v>
      </c>
      <c r="AN999">
        <v>2023</v>
      </c>
      <c r="AO999">
        <v>356</v>
      </c>
      <c r="AP999" s="2">
        <v>1424.05</v>
      </c>
      <c r="AQ999">
        <v>0</v>
      </c>
      <c r="AR999">
        <v>256.8</v>
      </c>
      <c r="AS999" t="s">
        <v>177</v>
      </c>
      <c r="AT999">
        <v>1167.25</v>
      </c>
      <c r="AU999">
        <v>256.8</v>
      </c>
      <c r="AV999">
        <v>2023</v>
      </c>
      <c r="AW999">
        <v>245</v>
      </c>
      <c r="AX999">
        <v>670</v>
      </c>
      <c r="AY999">
        <v>0</v>
      </c>
      <c r="AZ999" t="s">
        <v>1707</v>
      </c>
      <c r="BA999">
        <v>1424.05</v>
      </c>
      <c r="BB999" s="1">
        <v>45008</v>
      </c>
    </row>
    <row r="1000" spans="1:54" x14ac:dyDescent="0.25">
      <c r="A1000">
        <v>2023</v>
      </c>
      <c r="B1000">
        <v>467</v>
      </c>
      <c r="C1000" s="1">
        <v>45008</v>
      </c>
      <c r="D1000">
        <v>2023</v>
      </c>
      <c r="E1000">
        <v>2023</v>
      </c>
      <c r="F1000">
        <v>178</v>
      </c>
      <c r="H1000" t="s">
        <v>1708</v>
      </c>
      <c r="I1000">
        <v>140</v>
      </c>
      <c r="J1000">
        <v>0</v>
      </c>
      <c r="K1000" t="s">
        <v>261</v>
      </c>
      <c r="R1000" t="s">
        <v>1709</v>
      </c>
      <c r="S1000" t="str">
        <f>"30"</f>
        <v>30</v>
      </c>
      <c r="T1000" t="s">
        <v>78</v>
      </c>
      <c r="W1000" t="s">
        <v>1710</v>
      </c>
      <c r="Y1000">
        <v>4296</v>
      </c>
      <c r="Z1000" t="s">
        <v>1711</v>
      </c>
      <c r="AA1000" t="s">
        <v>1712</v>
      </c>
      <c r="AB1000" t="s">
        <v>1713</v>
      </c>
      <c r="AC1000" t="s">
        <v>116</v>
      </c>
      <c r="AD1000" t="s">
        <v>1714</v>
      </c>
      <c r="AF1000">
        <v>2023</v>
      </c>
      <c r="AG1000">
        <v>660</v>
      </c>
      <c r="AH1000" t="str">
        <f t="shared" si="97"/>
        <v>1</v>
      </c>
      <c r="AI1000" t="s">
        <v>1715</v>
      </c>
      <c r="AJ1000" s="1">
        <v>45006</v>
      </c>
      <c r="AK1000" t="s">
        <v>1710</v>
      </c>
      <c r="AL1000" s="2">
        <v>13143.05</v>
      </c>
      <c r="AN1000">
        <v>2023</v>
      </c>
      <c r="AO1000">
        <v>354</v>
      </c>
      <c r="AP1000" s="2">
        <v>13143.05</v>
      </c>
      <c r="AQ1000">
        <v>0</v>
      </c>
      <c r="AR1000" s="2">
        <v>3328.05</v>
      </c>
      <c r="AS1000" t="str">
        <f>"1040"</f>
        <v>1040</v>
      </c>
      <c r="AT1000">
        <v>13143.05</v>
      </c>
      <c r="AU1000">
        <v>2628.61</v>
      </c>
      <c r="AV1000">
        <v>2023</v>
      </c>
      <c r="AW1000">
        <v>247</v>
      </c>
      <c r="AX1000">
        <v>620</v>
      </c>
      <c r="AY1000">
        <v>0</v>
      </c>
      <c r="AZ1000" t="s">
        <v>1716</v>
      </c>
      <c r="BA1000">
        <v>13143.05</v>
      </c>
      <c r="BB1000" s="1">
        <v>45008</v>
      </c>
    </row>
    <row r="1001" spans="1:54" x14ac:dyDescent="0.25">
      <c r="A1001">
        <v>2023</v>
      </c>
      <c r="B1001">
        <v>467</v>
      </c>
      <c r="C1001" s="1">
        <v>45008</v>
      </c>
      <c r="D1001">
        <v>2023</v>
      </c>
      <c r="E1001">
        <v>2023</v>
      </c>
      <c r="F1001">
        <v>178</v>
      </c>
      <c r="H1001" t="s">
        <v>1708</v>
      </c>
      <c r="I1001">
        <v>140</v>
      </c>
      <c r="J1001">
        <v>0</v>
      </c>
      <c r="K1001" t="s">
        <v>261</v>
      </c>
      <c r="R1001" t="s">
        <v>1709</v>
      </c>
      <c r="S1001" t="str">
        <f>"30"</f>
        <v>30</v>
      </c>
      <c r="T1001" t="s">
        <v>78</v>
      </c>
      <c r="W1001" t="s">
        <v>1710</v>
      </c>
      <c r="Y1001">
        <v>4296</v>
      </c>
      <c r="Z1001" t="s">
        <v>1711</v>
      </c>
      <c r="AA1001" t="s">
        <v>1712</v>
      </c>
      <c r="AB1001" t="s">
        <v>1713</v>
      </c>
      <c r="AC1001" t="s">
        <v>116</v>
      </c>
      <c r="AD1001" t="s">
        <v>1714</v>
      </c>
      <c r="AF1001">
        <v>2023</v>
      </c>
      <c r="AG1001">
        <v>660</v>
      </c>
      <c r="AH1001" t="str">
        <f t="shared" si="97"/>
        <v>1</v>
      </c>
      <c r="AI1001" t="s">
        <v>1715</v>
      </c>
      <c r="AJ1001" s="1">
        <v>45006</v>
      </c>
      <c r="AK1001" t="s">
        <v>1710</v>
      </c>
      <c r="AL1001" s="2">
        <v>13143.05</v>
      </c>
      <c r="AN1001">
        <v>2023</v>
      </c>
      <c r="AO1001">
        <v>354</v>
      </c>
      <c r="AP1001" s="2">
        <v>13143.05</v>
      </c>
      <c r="AQ1001">
        <v>0</v>
      </c>
      <c r="AR1001" s="2">
        <v>3328.05</v>
      </c>
      <c r="AS1001" t="s">
        <v>1717</v>
      </c>
      <c r="AT1001">
        <v>8743</v>
      </c>
      <c r="AU1001">
        <v>699.44</v>
      </c>
      <c r="AV1001">
        <v>2023</v>
      </c>
      <c r="AW1001">
        <v>246</v>
      </c>
      <c r="AX1001">
        <v>600</v>
      </c>
      <c r="AY1001">
        <v>0</v>
      </c>
      <c r="AZ1001" t="s">
        <v>1718</v>
      </c>
      <c r="BA1001">
        <v>13143.05</v>
      </c>
      <c r="BB1001" s="1">
        <v>45008</v>
      </c>
    </row>
    <row r="1002" spans="1:54" x14ac:dyDescent="0.25">
      <c r="A1002">
        <v>2023</v>
      </c>
      <c r="B1002">
        <v>468</v>
      </c>
      <c r="C1002" s="1">
        <v>45014</v>
      </c>
      <c r="D1002">
        <v>2023</v>
      </c>
      <c r="E1002">
        <v>2014</v>
      </c>
      <c r="F1002">
        <v>507</v>
      </c>
      <c r="H1002" t="s">
        <v>1719</v>
      </c>
      <c r="I1002">
        <v>120</v>
      </c>
      <c r="J1002">
        <v>0</v>
      </c>
      <c r="K1002" t="s">
        <v>120</v>
      </c>
      <c r="R1002" t="s">
        <v>1720</v>
      </c>
      <c r="S1002" t="str">
        <f>"31"</f>
        <v>31</v>
      </c>
      <c r="T1002" t="s">
        <v>122</v>
      </c>
      <c r="W1002" t="s">
        <v>1721</v>
      </c>
      <c r="Y1002">
        <v>753</v>
      </c>
      <c r="Z1002" t="s">
        <v>1520</v>
      </c>
      <c r="AB1002" t="str">
        <f>"03573940271"</f>
        <v>03573940271</v>
      </c>
      <c r="AC1002" t="s">
        <v>116</v>
      </c>
      <c r="AD1002" t="s">
        <v>1521</v>
      </c>
      <c r="AF1002">
        <v>2014</v>
      </c>
      <c r="AG1002">
        <v>1431</v>
      </c>
      <c r="AH1002" t="str">
        <f t="shared" si="97"/>
        <v>1</v>
      </c>
      <c r="AI1002" t="s">
        <v>1722</v>
      </c>
      <c r="AJ1002" s="1">
        <v>41904</v>
      </c>
      <c r="AK1002" t="s">
        <v>1721</v>
      </c>
      <c r="AL1002">
        <v>390.4</v>
      </c>
      <c r="AN1002">
        <v>2014</v>
      </c>
      <c r="AO1002">
        <v>1614</v>
      </c>
      <c r="AP1002">
        <v>390.4</v>
      </c>
      <c r="AQ1002">
        <v>0</v>
      </c>
      <c r="AR1002">
        <v>0</v>
      </c>
      <c r="BA1002">
        <v>390.4</v>
      </c>
      <c r="BB1002" s="1">
        <v>45014</v>
      </c>
    </row>
    <row r="1003" spans="1:54" x14ac:dyDescent="0.25">
      <c r="A1003">
        <v>2023</v>
      </c>
      <c r="B1003">
        <v>469</v>
      </c>
      <c r="C1003" s="1">
        <v>45014</v>
      </c>
      <c r="D1003">
        <v>2023</v>
      </c>
      <c r="E1003">
        <v>2014</v>
      </c>
      <c r="F1003">
        <v>102</v>
      </c>
      <c r="H1003" t="s">
        <v>1723</v>
      </c>
      <c r="I1003">
        <v>119</v>
      </c>
      <c r="J1003">
        <v>0</v>
      </c>
      <c r="K1003" t="s">
        <v>137</v>
      </c>
      <c r="R1003" t="s">
        <v>1724</v>
      </c>
      <c r="S1003" t="str">
        <f>"30"</f>
        <v>30</v>
      </c>
      <c r="T1003" t="s">
        <v>78</v>
      </c>
      <c r="W1003" t="s">
        <v>1725</v>
      </c>
      <c r="Y1003">
        <v>2354</v>
      </c>
      <c r="Z1003" t="s">
        <v>1726</v>
      </c>
      <c r="AB1003" t="s">
        <v>1727</v>
      </c>
      <c r="AC1003" t="s">
        <v>116</v>
      </c>
      <c r="AD1003" t="s">
        <v>1728</v>
      </c>
      <c r="AF1003">
        <v>2014</v>
      </c>
      <c r="AG1003">
        <v>1125</v>
      </c>
      <c r="AH1003" t="str">
        <f t="shared" si="97"/>
        <v>1</v>
      </c>
      <c r="AI1003" t="s">
        <v>1729</v>
      </c>
      <c r="AJ1003" s="1">
        <v>41851</v>
      </c>
      <c r="AK1003" t="s">
        <v>1725</v>
      </c>
      <c r="AL1003">
        <v>577.5</v>
      </c>
      <c r="AN1003">
        <v>2014</v>
      </c>
      <c r="AO1003">
        <v>1154</v>
      </c>
      <c r="AP1003">
        <v>577.5</v>
      </c>
      <c r="AQ1003">
        <v>0</v>
      </c>
      <c r="AR1003">
        <v>0</v>
      </c>
      <c r="BA1003">
        <v>577.5</v>
      </c>
      <c r="BB1003" s="1">
        <v>45015</v>
      </c>
    </row>
    <row r="1004" spans="1:54" x14ac:dyDescent="0.25">
      <c r="A1004">
        <v>2023</v>
      </c>
      <c r="B1004">
        <v>470</v>
      </c>
      <c r="C1004" s="1">
        <v>45014</v>
      </c>
      <c r="D1004">
        <v>2023</v>
      </c>
      <c r="E1004">
        <v>2018</v>
      </c>
      <c r="F1004">
        <v>309</v>
      </c>
      <c r="H1004" t="s">
        <v>1730</v>
      </c>
      <c r="I1004">
        <v>143</v>
      </c>
      <c r="J1004">
        <v>0</v>
      </c>
      <c r="K1004" t="s">
        <v>62</v>
      </c>
      <c r="R1004" t="str">
        <f>"8085160519"</f>
        <v>8085160519</v>
      </c>
      <c r="S1004" t="str">
        <f>"33"</f>
        <v>33</v>
      </c>
      <c r="T1004" t="s">
        <v>64</v>
      </c>
      <c r="W1004" t="s">
        <v>1731</v>
      </c>
      <c r="Y1004">
        <v>3142</v>
      </c>
      <c r="Z1004" t="s">
        <v>66</v>
      </c>
      <c r="AB1004" t="str">
        <f>"01269980338"</f>
        <v>01269980338</v>
      </c>
      <c r="AC1004" t="s">
        <v>116</v>
      </c>
      <c r="AD1004" t="s">
        <v>366</v>
      </c>
      <c r="AF1004">
        <v>2023</v>
      </c>
      <c r="AG1004">
        <v>661</v>
      </c>
      <c r="AH1004" t="str">
        <f>"7"</f>
        <v>7</v>
      </c>
      <c r="AI1004" t="s">
        <v>1341</v>
      </c>
      <c r="AJ1004" s="1">
        <v>45001</v>
      </c>
      <c r="AK1004" t="s">
        <v>1732</v>
      </c>
      <c r="AL1004">
        <v>510</v>
      </c>
      <c r="AN1004">
        <v>2023</v>
      </c>
      <c r="AO1004">
        <v>355</v>
      </c>
      <c r="AP1004">
        <v>102.52</v>
      </c>
      <c r="AQ1004">
        <v>0</v>
      </c>
      <c r="AR1004">
        <v>0</v>
      </c>
      <c r="BA1004">
        <v>102.52</v>
      </c>
      <c r="BB1004" s="1">
        <v>45014</v>
      </c>
    </row>
    <row r="1005" spans="1:54" x14ac:dyDescent="0.25">
      <c r="A1005">
        <v>2023</v>
      </c>
      <c r="B1005">
        <v>471</v>
      </c>
      <c r="C1005" s="1">
        <v>45014</v>
      </c>
      <c r="D1005">
        <v>2023</v>
      </c>
      <c r="E1005">
        <v>2020</v>
      </c>
      <c r="F1005">
        <v>500</v>
      </c>
      <c r="H1005" t="s">
        <v>1733</v>
      </c>
      <c r="I1005">
        <v>143</v>
      </c>
      <c r="J1005">
        <v>0</v>
      </c>
      <c r="K1005" t="s">
        <v>62</v>
      </c>
      <c r="R1005" t="str">
        <f>"8085160519"</f>
        <v>8085160519</v>
      </c>
      <c r="S1005" t="str">
        <f>"33"</f>
        <v>33</v>
      </c>
      <c r="T1005" t="s">
        <v>64</v>
      </c>
      <c r="W1005" t="s">
        <v>1731</v>
      </c>
      <c r="Y1005">
        <v>3142</v>
      </c>
      <c r="Z1005" t="s">
        <v>66</v>
      </c>
      <c r="AB1005" t="str">
        <f>"01269980338"</f>
        <v>01269980338</v>
      </c>
      <c r="AC1005" t="s">
        <v>116</v>
      </c>
      <c r="AD1005" t="s">
        <v>366</v>
      </c>
      <c r="AF1005">
        <v>2023</v>
      </c>
      <c r="AG1005">
        <v>661</v>
      </c>
      <c r="AH1005" t="str">
        <f>"7"</f>
        <v>7</v>
      </c>
      <c r="AI1005" t="s">
        <v>1341</v>
      </c>
      <c r="AJ1005" s="1">
        <v>45001</v>
      </c>
      <c r="AK1005" t="s">
        <v>1732</v>
      </c>
      <c r="AL1005">
        <v>510</v>
      </c>
      <c r="AN1005">
        <v>2023</v>
      </c>
      <c r="AO1005">
        <v>357</v>
      </c>
      <c r="AP1005">
        <v>319.39999999999998</v>
      </c>
      <c r="AQ1005">
        <v>0</v>
      </c>
      <c r="AR1005">
        <v>0</v>
      </c>
      <c r="BA1005">
        <v>319.39999999999998</v>
      </c>
      <c r="BB1005" s="1">
        <v>45015</v>
      </c>
    </row>
    <row r="1006" spans="1:54" x14ac:dyDescent="0.25">
      <c r="A1006">
        <v>2023</v>
      </c>
      <c r="B1006">
        <v>472</v>
      </c>
      <c r="C1006" s="1">
        <v>45014</v>
      </c>
      <c r="D1006">
        <v>2023</v>
      </c>
      <c r="E1006">
        <v>2022</v>
      </c>
      <c r="F1006">
        <v>18</v>
      </c>
      <c r="H1006" t="s">
        <v>61</v>
      </c>
      <c r="I1006">
        <v>143</v>
      </c>
      <c r="J1006">
        <v>0</v>
      </c>
      <c r="K1006" t="s">
        <v>62</v>
      </c>
      <c r="R1006" t="str">
        <f>"8085160519"</f>
        <v>8085160519</v>
      </c>
      <c r="S1006" t="str">
        <f>"33"</f>
        <v>33</v>
      </c>
      <c r="T1006" t="s">
        <v>64</v>
      </c>
      <c r="W1006" t="s">
        <v>1731</v>
      </c>
      <c r="Y1006">
        <v>3142</v>
      </c>
      <c r="Z1006" t="s">
        <v>66</v>
      </c>
      <c r="AB1006" t="str">
        <f>"01269980338"</f>
        <v>01269980338</v>
      </c>
      <c r="AC1006" t="s">
        <v>116</v>
      </c>
      <c r="AD1006" t="s">
        <v>366</v>
      </c>
      <c r="AF1006">
        <v>2023</v>
      </c>
      <c r="AG1006">
        <v>661</v>
      </c>
      <c r="AH1006" t="str">
        <f>"7"</f>
        <v>7</v>
      </c>
      <c r="AI1006" t="s">
        <v>1341</v>
      </c>
      <c r="AJ1006" s="1">
        <v>45001</v>
      </c>
      <c r="AK1006" t="s">
        <v>1732</v>
      </c>
      <c r="AL1006">
        <v>510</v>
      </c>
      <c r="AN1006">
        <v>2023</v>
      </c>
      <c r="AO1006">
        <v>358</v>
      </c>
      <c r="AP1006">
        <v>88.08</v>
      </c>
      <c r="AQ1006">
        <v>0</v>
      </c>
      <c r="AR1006">
        <v>0</v>
      </c>
      <c r="BA1006">
        <v>88.08</v>
      </c>
      <c r="BB1006" s="1">
        <v>45015</v>
      </c>
    </row>
    <row r="1007" spans="1:54" x14ac:dyDescent="0.25">
      <c r="A1007">
        <v>2023</v>
      </c>
      <c r="B1007">
        <v>473</v>
      </c>
      <c r="C1007" s="1">
        <v>45014</v>
      </c>
      <c r="D1007">
        <v>2023</v>
      </c>
      <c r="E1007">
        <v>2022</v>
      </c>
      <c r="F1007">
        <v>18</v>
      </c>
      <c r="H1007" t="s">
        <v>61</v>
      </c>
      <c r="I1007">
        <v>143</v>
      </c>
      <c r="J1007">
        <v>0</v>
      </c>
      <c r="K1007" t="s">
        <v>62</v>
      </c>
      <c r="R1007" t="str">
        <f>"8085160519"</f>
        <v>8085160519</v>
      </c>
      <c r="S1007" t="str">
        <f>"33"</f>
        <v>33</v>
      </c>
      <c r="T1007" t="s">
        <v>64</v>
      </c>
      <c r="W1007" t="s">
        <v>1734</v>
      </c>
      <c r="Y1007">
        <v>3142</v>
      </c>
      <c r="Z1007" t="s">
        <v>66</v>
      </c>
      <c r="AB1007" t="str">
        <f>"01269980338"</f>
        <v>01269980338</v>
      </c>
      <c r="AC1007" t="s">
        <v>116</v>
      </c>
      <c r="AD1007" t="s">
        <v>366</v>
      </c>
      <c r="AF1007">
        <v>2023</v>
      </c>
      <c r="AG1007">
        <v>662</v>
      </c>
      <c r="AH1007" t="str">
        <f>"7"</f>
        <v>7</v>
      </c>
      <c r="AI1007" t="s">
        <v>1735</v>
      </c>
      <c r="AJ1007" s="1">
        <v>45001</v>
      </c>
      <c r="AK1007" t="s">
        <v>1734</v>
      </c>
      <c r="AL1007">
        <v>697</v>
      </c>
      <c r="AN1007">
        <v>2023</v>
      </c>
      <c r="AO1007">
        <v>359</v>
      </c>
      <c r="AP1007">
        <v>697</v>
      </c>
      <c r="AQ1007">
        <v>0</v>
      </c>
      <c r="AR1007">
        <v>0</v>
      </c>
      <c r="BA1007">
        <v>697</v>
      </c>
      <c r="BB1007" s="1">
        <v>45014</v>
      </c>
    </row>
    <row r="1008" spans="1:54" x14ac:dyDescent="0.25">
      <c r="A1008">
        <v>2023</v>
      </c>
      <c r="B1008">
        <v>474</v>
      </c>
      <c r="C1008" s="1">
        <v>45014</v>
      </c>
      <c r="D1008">
        <v>2023</v>
      </c>
      <c r="E1008">
        <v>2023</v>
      </c>
      <c r="F1008">
        <v>47</v>
      </c>
      <c r="H1008" t="s">
        <v>380</v>
      </c>
      <c r="I1008">
        <v>143</v>
      </c>
      <c r="J1008">
        <v>0</v>
      </c>
      <c r="K1008" t="s">
        <v>62</v>
      </c>
      <c r="R1008" t="str">
        <f>"8085296554"</f>
        <v>8085296554</v>
      </c>
      <c r="S1008" t="str">
        <f>"33"</f>
        <v>33</v>
      </c>
      <c r="T1008" t="s">
        <v>64</v>
      </c>
      <c r="W1008" t="s">
        <v>1736</v>
      </c>
      <c r="Y1008">
        <v>3142</v>
      </c>
      <c r="Z1008" t="s">
        <v>66</v>
      </c>
      <c r="AB1008" t="str">
        <f>"01269980338"</f>
        <v>01269980338</v>
      </c>
      <c r="AC1008" t="s">
        <v>116</v>
      </c>
      <c r="AD1008" t="s">
        <v>366</v>
      </c>
      <c r="AF1008">
        <v>2023</v>
      </c>
      <c r="AG1008">
        <v>863</v>
      </c>
      <c r="AH1008" t="str">
        <f>"7"</f>
        <v>7</v>
      </c>
      <c r="AI1008" t="s">
        <v>1341</v>
      </c>
      <c r="AJ1008" s="1">
        <v>45012</v>
      </c>
      <c r="AK1008" t="s">
        <v>1736</v>
      </c>
      <c r="AL1008">
        <v>690.97</v>
      </c>
      <c r="AN1008">
        <v>2023</v>
      </c>
      <c r="AO1008">
        <v>366</v>
      </c>
      <c r="AP1008">
        <v>690.97</v>
      </c>
      <c r="AQ1008">
        <v>0</v>
      </c>
      <c r="AR1008">
        <v>0</v>
      </c>
      <c r="BA1008">
        <v>690.97</v>
      </c>
      <c r="BB1008" s="1">
        <v>45014</v>
      </c>
    </row>
    <row r="1009" spans="1:54" x14ac:dyDescent="0.25">
      <c r="A1009">
        <v>2023</v>
      </c>
      <c r="B1009">
        <v>475</v>
      </c>
      <c r="C1009" s="1">
        <v>45015</v>
      </c>
      <c r="D1009">
        <v>2023</v>
      </c>
      <c r="E1009">
        <v>2022</v>
      </c>
      <c r="F1009">
        <v>699</v>
      </c>
      <c r="H1009" t="s">
        <v>1737</v>
      </c>
      <c r="I1009">
        <v>149</v>
      </c>
      <c r="J1009">
        <v>0</v>
      </c>
      <c r="K1009" t="s">
        <v>277</v>
      </c>
      <c r="R1009" t="s">
        <v>1738</v>
      </c>
      <c r="S1009" t="str">
        <f t="shared" ref="S1009:S1014" si="100">"31"</f>
        <v>31</v>
      </c>
      <c r="T1009" t="s">
        <v>122</v>
      </c>
      <c r="W1009" t="s">
        <v>1739</v>
      </c>
      <c r="Y1009">
        <v>4598</v>
      </c>
      <c r="Z1009" t="s">
        <v>1740</v>
      </c>
      <c r="AB1009" t="str">
        <f>"00095120937"</f>
        <v>00095120937</v>
      </c>
      <c r="AC1009" t="s">
        <v>116</v>
      </c>
      <c r="AD1009" t="s">
        <v>1741</v>
      </c>
      <c r="AF1009">
        <v>2023</v>
      </c>
      <c r="AG1009">
        <v>343</v>
      </c>
      <c r="AH1009" t="str">
        <f t="shared" ref="AH1009:AH1040" si="101">"1"</f>
        <v>1</v>
      </c>
      <c r="AI1009" t="str">
        <f>"19"</f>
        <v>19</v>
      </c>
      <c r="AJ1009" s="1">
        <v>44957</v>
      </c>
      <c r="AK1009" t="s">
        <v>1739</v>
      </c>
      <c r="AL1009" s="2">
        <v>2013</v>
      </c>
      <c r="AM1009" t="str">
        <f>"8992377224"</f>
        <v>8992377224</v>
      </c>
      <c r="AN1009">
        <v>2023</v>
      </c>
      <c r="AO1009">
        <v>351</v>
      </c>
      <c r="AP1009" s="2">
        <v>2013</v>
      </c>
      <c r="AQ1009">
        <v>0</v>
      </c>
      <c r="AR1009">
        <v>363</v>
      </c>
      <c r="AS1009" t="s">
        <v>177</v>
      </c>
      <c r="AT1009">
        <v>1650</v>
      </c>
      <c r="AU1009">
        <v>363</v>
      </c>
      <c r="AV1009">
        <v>2023</v>
      </c>
      <c r="AW1009">
        <v>248</v>
      </c>
      <c r="AX1009">
        <v>670</v>
      </c>
      <c r="AY1009">
        <v>0</v>
      </c>
      <c r="AZ1009" t="s">
        <v>1742</v>
      </c>
      <c r="BA1009">
        <v>2013</v>
      </c>
      <c r="BB1009" s="1">
        <v>45015</v>
      </c>
    </row>
    <row r="1010" spans="1:54" x14ac:dyDescent="0.25">
      <c r="A1010">
        <v>2023</v>
      </c>
      <c r="B1010">
        <v>476</v>
      </c>
      <c r="C1010" s="1">
        <v>45015</v>
      </c>
      <c r="D1010">
        <v>2023</v>
      </c>
      <c r="E1010">
        <v>2022</v>
      </c>
      <c r="F1010">
        <v>142</v>
      </c>
      <c r="H1010" t="s">
        <v>230</v>
      </c>
      <c r="I1010">
        <v>120</v>
      </c>
      <c r="J1010">
        <v>0</v>
      </c>
      <c r="K1010" t="s">
        <v>120</v>
      </c>
      <c r="R1010" t="s">
        <v>231</v>
      </c>
      <c r="S1010" t="str">
        <f t="shared" si="100"/>
        <v>31</v>
      </c>
      <c r="T1010" t="s">
        <v>122</v>
      </c>
      <c r="W1010" t="s">
        <v>232</v>
      </c>
      <c r="Y1010">
        <v>4608</v>
      </c>
      <c r="Z1010" t="s">
        <v>1165</v>
      </c>
      <c r="AB1010" t="str">
        <f>"11403240960"</f>
        <v>11403240960</v>
      </c>
      <c r="AC1010" t="s">
        <v>116</v>
      </c>
      <c r="AD1010" t="s">
        <v>233</v>
      </c>
      <c r="AF1010">
        <v>2023</v>
      </c>
      <c r="AG1010">
        <v>569</v>
      </c>
      <c r="AH1010" t="str">
        <f t="shared" si="101"/>
        <v>1</v>
      </c>
      <c r="AI1010" t="str">
        <f>"23741134"</f>
        <v>23741134</v>
      </c>
      <c r="AJ1010" s="1">
        <v>44980</v>
      </c>
      <c r="AK1010" t="s">
        <v>232</v>
      </c>
      <c r="AL1010">
        <v>934.48</v>
      </c>
      <c r="AM1010" t="str">
        <f>"9106221239"</f>
        <v>9106221239</v>
      </c>
      <c r="AN1010">
        <v>2023</v>
      </c>
      <c r="AO1010">
        <v>276</v>
      </c>
      <c r="AP1010">
        <v>934.48</v>
      </c>
      <c r="AQ1010">
        <v>0</v>
      </c>
      <c r="AR1010">
        <v>346.36</v>
      </c>
      <c r="AS1010" t="s">
        <v>177</v>
      </c>
      <c r="AT1010">
        <v>765.97</v>
      </c>
      <c r="AU1010">
        <v>168.51</v>
      </c>
      <c r="AV1010">
        <v>2023</v>
      </c>
      <c r="AW1010">
        <v>249</v>
      </c>
      <c r="AX1010">
        <v>670</v>
      </c>
      <c r="AY1010">
        <v>0</v>
      </c>
      <c r="AZ1010" t="s">
        <v>1743</v>
      </c>
      <c r="BA1010">
        <v>934.48</v>
      </c>
      <c r="BB1010" s="1">
        <v>45015</v>
      </c>
    </row>
    <row r="1011" spans="1:54" x14ac:dyDescent="0.25">
      <c r="A1011">
        <v>2023</v>
      </c>
      <c r="B1011">
        <v>476</v>
      </c>
      <c r="C1011" s="1">
        <v>45015</v>
      </c>
      <c r="D1011">
        <v>2023</v>
      </c>
      <c r="E1011">
        <v>2022</v>
      </c>
      <c r="F1011">
        <v>142</v>
      </c>
      <c r="H1011" t="s">
        <v>230</v>
      </c>
      <c r="I1011">
        <v>120</v>
      </c>
      <c r="J1011">
        <v>0</v>
      </c>
      <c r="K1011" t="s">
        <v>120</v>
      </c>
      <c r="R1011" t="s">
        <v>231</v>
      </c>
      <c r="S1011" t="str">
        <f t="shared" si="100"/>
        <v>31</v>
      </c>
      <c r="T1011" t="s">
        <v>122</v>
      </c>
      <c r="W1011" t="s">
        <v>232</v>
      </c>
      <c r="Y1011">
        <v>4608</v>
      </c>
      <c r="Z1011" t="s">
        <v>1165</v>
      </c>
      <c r="AB1011" t="str">
        <f>"11403240960"</f>
        <v>11403240960</v>
      </c>
      <c r="AC1011" t="s">
        <v>116</v>
      </c>
      <c r="AD1011" t="s">
        <v>233</v>
      </c>
      <c r="AF1011">
        <v>2023</v>
      </c>
      <c r="AG1011">
        <v>876</v>
      </c>
      <c r="AH1011" t="str">
        <f t="shared" si="101"/>
        <v>1</v>
      </c>
      <c r="AI1011" t="str">
        <f>"23745770"</f>
        <v>23745770</v>
      </c>
      <c r="AJ1011" s="1">
        <v>45013</v>
      </c>
      <c r="AK1011" t="s">
        <v>232</v>
      </c>
      <c r="AL1011">
        <v>986.26</v>
      </c>
      <c r="AM1011" t="str">
        <f>"9323109524"</f>
        <v>9323109524</v>
      </c>
      <c r="AN1011">
        <v>2023</v>
      </c>
      <c r="AO1011">
        <v>380</v>
      </c>
      <c r="AP1011">
        <v>986.26</v>
      </c>
      <c r="AQ1011">
        <v>0</v>
      </c>
      <c r="AR1011">
        <v>346.36</v>
      </c>
      <c r="AS1011" t="s">
        <v>177</v>
      </c>
      <c r="AT1011">
        <v>808.41</v>
      </c>
      <c r="AU1011">
        <v>177.85</v>
      </c>
      <c r="AV1011">
        <v>2023</v>
      </c>
      <c r="AW1011">
        <v>249</v>
      </c>
      <c r="AX1011">
        <v>670</v>
      </c>
      <c r="AY1011">
        <v>0</v>
      </c>
      <c r="AZ1011" t="s">
        <v>1743</v>
      </c>
      <c r="BA1011">
        <v>986.26</v>
      </c>
      <c r="BB1011" s="1">
        <v>45015</v>
      </c>
    </row>
    <row r="1012" spans="1:54" x14ac:dyDescent="0.25">
      <c r="A1012">
        <v>2023</v>
      </c>
      <c r="B1012">
        <v>477</v>
      </c>
      <c r="C1012" s="1">
        <v>45015</v>
      </c>
      <c r="D1012">
        <v>2023</v>
      </c>
      <c r="E1012">
        <v>2023</v>
      </c>
      <c r="F1012">
        <v>88</v>
      </c>
      <c r="H1012" t="s">
        <v>1744</v>
      </c>
      <c r="I1012">
        <v>120</v>
      </c>
      <c r="J1012">
        <v>0</v>
      </c>
      <c r="K1012" t="s">
        <v>120</v>
      </c>
      <c r="R1012" t="s">
        <v>1745</v>
      </c>
      <c r="S1012" t="str">
        <f t="shared" si="100"/>
        <v>31</v>
      </c>
      <c r="T1012" t="s">
        <v>122</v>
      </c>
      <c r="W1012" t="s">
        <v>1746</v>
      </c>
      <c r="Y1012">
        <v>4610</v>
      </c>
      <c r="Z1012" t="s">
        <v>1747</v>
      </c>
      <c r="AB1012" t="str">
        <f>"03603390281"</f>
        <v>03603390281</v>
      </c>
      <c r="AC1012" t="s">
        <v>116</v>
      </c>
      <c r="AD1012" t="s">
        <v>1748</v>
      </c>
      <c r="AF1012">
        <v>2023</v>
      </c>
      <c r="AG1012">
        <v>616</v>
      </c>
      <c r="AH1012" t="str">
        <f t="shared" si="101"/>
        <v>1</v>
      </c>
      <c r="AI1012" t="str">
        <f>"8"</f>
        <v>8</v>
      </c>
      <c r="AJ1012" s="1">
        <v>44981</v>
      </c>
      <c r="AK1012" t="s">
        <v>1746</v>
      </c>
      <c r="AL1012" s="2">
        <v>5734</v>
      </c>
      <c r="AM1012" t="str">
        <f>"9141587258"</f>
        <v>9141587258</v>
      </c>
      <c r="AN1012">
        <v>2023</v>
      </c>
      <c r="AO1012">
        <v>382</v>
      </c>
      <c r="AP1012" s="2">
        <v>5734</v>
      </c>
      <c r="AQ1012">
        <v>0</v>
      </c>
      <c r="AR1012" s="2">
        <v>1034</v>
      </c>
      <c r="AS1012" t="s">
        <v>177</v>
      </c>
      <c r="AT1012">
        <v>4700</v>
      </c>
      <c r="AU1012">
        <v>1034</v>
      </c>
      <c r="AV1012">
        <v>2023</v>
      </c>
      <c r="AW1012">
        <v>250</v>
      </c>
      <c r="AX1012">
        <v>670</v>
      </c>
      <c r="AY1012">
        <v>0</v>
      </c>
      <c r="AZ1012" t="s">
        <v>1749</v>
      </c>
      <c r="BA1012">
        <v>5734</v>
      </c>
      <c r="BB1012" s="1">
        <v>45015</v>
      </c>
    </row>
    <row r="1013" spans="1:54" x14ac:dyDescent="0.25">
      <c r="A1013">
        <v>2023</v>
      </c>
      <c r="B1013">
        <v>478</v>
      </c>
      <c r="C1013" s="1">
        <v>45015</v>
      </c>
      <c r="D1013">
        <v>2023</v>
      </c>
      <c r="E1013">
        <v>2023</v>
      </c>
      <c r="F1013">
        <v>147</v>
      </c>
      <c r="H1013" t="s">
        <v>1750</v>
      </c>
      <c r="I1013">
        <v>149</v>
      </c>
      <c r="J1013">
        <v>0</v>
      </c>
      <c r="K1013" t="s">
        <v>277</v>
      </c>
      <c r="R1013" t="s">
        <v>1751</v>
      </c>
      <c r="S1013" t="str">
        <f t="shared" si="100"/>
        <v>31</v>
      </c>
      <c r="T1013" t="s">
        <v>122</v>
      </c>
      <c r="W1013" t="s">
        <v>1752</v>
      </c>
      <c r="Y1013">
        <v>793</v>
      </c>
      <c r="Z1013" t="s">
        <v>1753</v>
      </c>
      <c r="AB1013" t="str">
        <f>"02134890264"</f>
        <v>02134890264</v>
      </c>
      <c r="AC1013" t="s">
        <v>116</v>
      </c>
      <c r="AD1013" t="s">
        <v>1754</v>
      </c>
      <c r="AF1013">
        <v>2023</v>
      </c>
      <c r="AG1013">
        <v>338</v>
      </c>
      <c r="AH1013" t="str">
        <f t="shared" si="101"/>
        <v>1</v>
      </c>
      <c r="AI1013" t="str">
        <f>"2000039181"</f>
        <v>2000039181</v>
      </c>
      <c r="AJ1013" s="1">
        <v>44957</v>
      </c>
      <c r="AK1013" t="s">
        <v>1755</v>
      </c>
      <c r="AL1013" s="2">
        <v>1159</v>
      </c>
      <c r="AM1013" t="str">
        <f>"8934480381"</f>
        <v>8934480381</v>
      </c>
      <c r="AN1013">
        <v>2023</v>
      </c>
      <c r="AO1013">
        <v>323</v>
      </c>
      <c r="AP1013" s="2">
        <v>1159</v>
      </c>
      <c r="AQ1013">
        <v>0</v>
      </c>
      <c r="AR1013">
        <v>418</v>
      </c>
      <c r="AS1013" t="s">
        <v>177</v>
      </c>
      <c r="AT1013">
        <v>950</v>
      </c>
      <c r="AU1013">
        <v>209</v>
      </c>
      <c r="AV1013">
        <v>2023</v>
      </c>
      <c r="AW1013">
        <v>251</v>
      </c>
      <c r="AX1013">
        <v>670</v>
      </c>
      <c r="AY1013">
        <v>0</v>
      </c>
      <c r="AZ1013" t="s">
        <v>1756</v>
      </c>
      <c r="BA1013">
        <v>1159</v>
      </c>
      <c r="BB1013" s="1">
        <v>45015</v>
      </c>
    </row>
    <row r="1014" spans="1:54" x14ac:dyDescent="0.25">
      <c r="A1014">
        <v>2023</v>
      </c>
      <c r="B1014">
        <v>478</v>
      </c>
      <c r="C1014" s="1">
        <v>45015</v>
      </c>
      <c r="D1014">
        <v>2023</v>
      </c>
      <c r="E1014">
        <v>2023</v>
      </c>
      <c r="F1014">
        <v>147</v>
      </c>
      <c r="H1014" t="s">
        <v>1750</v>
      </c>
      <c r="I1014">
        <v>149</v>
      </c>
      <c r="J1014">
        <v>0</v>
      </c>
      <c r="K1014" t="s">
        <v>277</v>
      </c>
      <c r="R1014" t="s">
        <v>1751</v>
      </c>
      <c r="S1014" t="str">
        <f t="shared" si="100"/>
        <v>31</v>
      </c>
      <c r="T1014" t="s">
        <v>122</v>
      </c>
      <c r="W1014" t="s">
        <v>1752</v>
      </c>
      <c r="Y1014">
        <v>793</v>
      </c>
      <c r="Z1014" t="s">
        <v>1753</v>
      </c>
      <c r="AB1014" t="str">
        <f>"02134890264"</f>
        <v>02134890264</v>
      </c>
      <c r="AC1014" t="s">
        <v>116</v>
      </c>
      <c r="AD1014" t="s">
        <v>1754</v>
      </c>
      <c r="AF1014">
        <v>2023</v>
      </c>
      <c r="AG1014">
        <v>608</v>
      </c>
      <c r="AH1014" t="str">
        <f t="shared" si="101"/>
        <v>1</v>
      </c>
      <c r="AI1014" t="str">
        <f>"2000039577"</f>
        <v>2000039577</v>
      </c>
      <c r="AJ1014" s="1">
        <v>44985</v>
      </c>
      <c r="AK1014" t="s">
        <v>1757</v>
      </c>
      <c r="AL1014" s="2">
        <v>1159</v>
      </c>
      <c r="AM1014" t="str">
        <f>"9126950180"</f>
        <v>9126950180</v>
      </c>
      <c r="AN1014">
        <v>2023</v>
      </c>
      <c r="AO1014">
        <v>323</v>
      </c>
      <c r="AP1014" s="2">
        <v>1159</v>
      </c>
      <c r="AQ1014">
        <v>0</v>
      </c>
      <c r="AR1014">
        <v>418</v>
      </c>
      <c r="AS1014" t="s">
        <v>177</v>
      </c>
      <c r="AT1014">
        <v>950</v>
      </c>
      <c r="AU1014">
        <v>209</v>
      </c>
      <c r="AV1014">
        <v>2023</v>
      </c>
      <c r="AW1014">
        <v>251</v>
      </c>
      <c r="AX1014">
        <v>670</v>
      </c>
      <c r="AY1014">
        <v>0</v>
      </c>
      <c r="AZ1014" t="s">
        <v>1756</v>
      </c>
      <c r="BA1014">
        <v>1159</v>
      </c>
      <c r="BB1014" s="1">
        <v>45015</v>
      </c>
    </row>
    <row r="1015" spans="1:54" x14ac:dyDescent="0.25">
      <c r="A1015">
        <v>2023</v>
      </c>
      <c r="B1015">
        <v>479</v>
      </c>
      <c r="C1015" s="1">
        <v>45015</v>
      </c>
      <c r="D1015">
        <v>2023</v>
      </c>
      <c r="E1015">
        <v>2023</v>
      </c>
      <c r="F1015">
        <v>95</v>
      </c>
      <c r="H1015" t="s">
        <v>1758</v>
      </c>
      <c r="I1015">
        <v>109</v>
      </c>
      <c r="J1015">
        <v>0</v>
      </c>
      <c r="K1015" t="s">
        <v>159</v>
      </c>
      <c r="R1015" t="s">
        <v>1759</v>
      </c>
      <c r="S1015" t="str">
        <f>"30"</f>
        <v>30</v>
      </c>
      <c r="T1015" t="s">
        <v>78</v>
      </c>
      <c r="W1015" t="s">
        <v>1760</v>
      </c>
      <c r="Y1015">
        <v>4613</v>
      </c>
      <c r="Z1015" t="s">
        <v>1761</v>
      </c>
      <c r="AB1015" t="str">
        <f>"00266170935"</f>
        <v>00266170935</v>
      </c>
      <c r="AC1015" t="s">
        <v>116</v>
      </c>
      <c r="AD1015" t="s">
        <v>1762</v>
      </c>
      <c r="AF1015">
        <v>2023</v>
      </c>
      <c r="AG1015">
        <v>633</v>
      </c>
      <c r="AH1015" t="str">
        <f t="shared" si="101"/>
        <v>1</v>
      </c>
      <c r="AI1015" t="s">
        <v>1763</v>
      </c>
      <c r="AJ1015" s="1">
        <v>44979</v>
      </c>
      <c r="AK1015" t="s">
        <v>1760</v>
      </c>
      <c r="AL1015">
        <v>330</v>
      </c>
      <c r="AM1015" t="str">
        <f>"9089067423"</f>
        <v>9089067423</v>
      </c>
      <c r="AN1015">
        <v>2023</v>
      </c>
      <c r="AO1015">
        <v>319</v>
      </c>
      <c r="AP1015">
        <v>330</v>
      </c>
      <c r="AQ1015">
        <v>0</v>
      </c>
      <c r="AR1015">
        <v>30</v>
      </c>
      <c r="AS1015" t="s">
        <v>194</v>
      </c>
      <c r="AT1015">
        <v>300</v>
      </c>
      <c r="AU1015">
        <v>30</v>
      </c>
      <c r="AV1015">
        <v>2023</v>
      </c>
      <c r="AW1015">
        <v>252</v>
      </c>
      <c r="AX1015">
        <v>670</v>
      </c>
      <c r="AY1015">
        <v>0</v>
      </c>
      <c r="AZ1015" t="s">
        <v>1764</v>
      </c>
      <c r="BA1015">
        <v>330</v>
      </c>
      <c r="BB1015" s="1">
        <v>45015</v>
      </c>
    </row>
    <row r="1016" spans="1:54" x14ac:dyDescent="0.25">
      <c r="A1016">
        <v>2023</v>
      </c>
      <c r="B1016">
        <v>480</v>
      </c>
      <c r="C1016" s="1">
        <v>45015</v>
      </c>
      <c r="D1016">
        <v>2023</v>
      </c>
      <c r="E1016">
        <v>2022</v>
      </c>
      <c r="F1016">
        <v>596</v>
      </c>
      <c r="H1016" t="s">
        <v>1765</v>
      </c>
      <c r="I1016">
        <v>270</v>
      </c>
      <c r="J1016">
        <v>0</v>
      </c>
      <c r="K1016" t="s">
        <v>925</v>
      </c>
      <c r="R1016" t="s">
        <v>1766</v>
      </c>
      <c r="S1016" t="str">
        <f>"30"</f>
        <v>30</v>
      </c>
      <c r="T1016" t="s">
        <v>78</v>
      </c>
      <c r="W1016" t="s">
        <v>1767</v>
      </c>
      <c r="Y1016">
        <v>4611</v>
      </c>
      <c r="Z1016" t="s">
        <v>1768</v>
      </c>
      <c r="AB1016" t="str">
        <f>"04757420270"</f>
        <v>04757420270</v>
      </c>
      <c r="AC1016" t="s">
        <v>116</v>
      </c>
      <c r="AD1016" t="s">
        <v>1769</v>
      </c>
      <c r="AF1016">
        <v>2023</v>
      </c>
      <c r="AG1016">
        <v>347</v>
      </c>
      <c r="AH1016" t="str">
        <f t="shared" si="101"/>
        <v>1</v>
      </c>
      <c r="AI1016" t="str">
        <f>"77"</f>
        <v>77</v>
      </c>
      <c r="AJ1016" s="1">
        <v>44966</v>
      </c>
      <c r="AK1016" t="s">
        <v>1767</v>
      </c>
      <c r="AL1016" s="2">
        <v>1205.3599999999999</v>
      </c>
      <c r="AM1016" t="str">
        <f>"9004544532"</f>
        <v>9004544532</v>
      </c>
      <c r="AN1016">
        <v>2023</v>
      </c>
      <c r="AO1016">
        <v>229</v>
      </c>
      <c r="AP1016" s="2">
        <v>1205.3599999999999</v>
      </c>
      <c r="AQ1016">
        <v>0</v>
      </c>
      <c r="AR1016">
        <v>217.36</v>
      </c>
      <c r="AS1016" t="s">
        <v>177</v>
      </c>
      <c r="AT1016">
        <v>988</v>
      </c>
      <c r="AU1016">
        <v>217.36</v>
      </c>
      <c r="AV1016">
        <v>2023</v>
      </c>
      <c r="AW1016">
        <v>253</v>
      </c>
      <c r="AX1016">
        <v>670</v>
      </c>
      <c r="AY1016">
        <v>0</v>
      </c>
      <c r="AZ1016" t="s">
        <v>1770</v>
      </c>
      <c r="BA1016">
        <v>1205.3599999999999</v>
      </c>
      <c r="BB1016" s="1">
        <v>45015</v>
      </c>
    </row>
    <row r="1017" spans="1:54" x14ac:dyDescent="0.25">
      <c r="A1017">
        <v>2023</v>
      </c>
      <c r="B1017">
        <v>481</v>
      </c>
      <c r="C1017" s="1">
        <v>45015</v>
      </c>
      <c r="D1017">
        <v>2023</v>
      </c>
      <c r="E1017">
        <v>2022</v>
      </c>
      <c r="F1017">
        <v>93</v>
      </c>
      <c r="H1017" t="s">
        <v>1771</v>
      </c>
      <c r="I1017">
        <v>149</v>
      </c>
      <c r="J1017">
        <v>0</v>
      </c>
      <c r="K1017" t="s">
        <v>277</v>
      </c>
      <c r="R1017" t="s">
        <v>1772</v>
      </c>
      <c r="S1017" t="str">
        <f t="shared" ref="S1017:S1043" si="102">"31"</f>
        <v>31</v>
      </c>
      <c r="T1017" t="s">
        <v>122</v>
      </c>
      <c r="W1017" t="s">
        <v>1773</v>
      </c>
      <c r="Y1017">
        <v>4262</v>
      </c>
      <c r="Z1017" t="s">
        <v>1774</v>
      </c>
      <c r="AB1017" t="str">
        <f>"03174590269"</f>
        <v>03174590269</v>
      </c>
      <c r="AC1017" t="s">
        <v>116</v>
      </c>
      <c r="AD1017" t="s">
        <v>1775</v>
      </c>
      <c r="AF1017">
        <v>2023</v>
      </c>
      <c r="AG1017">
        <v>381</v>
      </c>
      <c r="AH1017" t="str">
        <f t="shared" si="101"/>
        <v>1</v>
      </c>
      <c r="AI1017" s="4">
        <v>46844</v>
      </c>
      <c r="AJ1017" s="1">
        <v>44957</v>
      </c>
      <c r="AK1017" t="s">
        <v>1773</v>
      </c>
      <c r="AL1017">
        <v>573.4</v>
      </c>
      <c r="AM1017" t="str">
        <f>"9039466400"</f>
        <v>9039466400</v>
      </c>
      <c r="AN1017">
        <v>2023</v>
      </c>
      <c r="AO1017">
        <v>383</v>
      </c>
      <c r="AP1017">
        <v>573.4</v>
      </c>
      <c r="AQ1017">
        <v>0</v>
      </c>
      <c r="AR1017">
        <v>103.4</v>
      </c>
      <c r="AS1017" t="s">
        <v>177</v>
      </c>
      <c r="AT1017">
        <v>470</v>
      </c>
      <c r="AU1017">
        <v>103.4</v>
      </c>
      <c r="AV1017">
        <v>2023</v>
      </c>
      <c r="AW1017">
        <v>254</v>
      </c>
      <c r="AX1017">
        <v>670</v>
      </c>
      <c r="AY1017">
        <v>0</v>
      </c>
      <c r="AZ1017" t="s">
        <v>1776</v>
      </c>
      <c r="BA1017">
        <v>573.4</v>
      </c>
      <c r="BB1017" s="1">
        <v>45015</v>
      </c>
    </row>
    <row r="1018" spans="1:54" x14ac:dyDescent="0.25">
      <c r="A1018">
        <v>2023</v>
      </c>
      <c r="B1018">
        <v>482</v>
      </c>
      <c r="C1018" s="1">
        <v>45015</v>
      </c>
      <c r="D1018">
        <v>2023</v>
      </c>
      <c r="E1018">
        <v>2021</v>
      </c>
      <c r="F1018">
        <v>262</v>
      </c>
      <c r="H1018" t="s">
        <v>1777</v>
      </c>
      <c r="I1018">
        <v>149</v>
      </c>
      <c r="J1018">
        <v>0</v>
      </c>
      <c r="K1018" t="s">
        <v>277</v>
      </c>
      <c r="R1018" t="s">
        <v>1778</v>
      </c>
      <c r="S1018" t="str">
        <f t="shared" si="102"/>
        <v>31</v>
      </c>
      <c r="T1018" t="s">
        <v>122</v>
      </c>
      <c r="W1018" t="s">
        <v>1779</v>
      </c>
      <c r="Y1018">
        <v>4262</v>
      </c>
      <c r="Z1018" t="s">
        <v>1774</v>
      </c>
      <c r="AB1018" t="str">
        <f>"03174590269"</f>
        <v>03174590269</v>
      </c>
      <c r="AC1018" t="s">
        <v>116</v>
      </c>
      <c r="AD1018" t="s">
        <v>1775</v>
      </c>
      <c r="AF1018">
        <v>2023</v>
      </c>
      <c r="AG1018">
        <v>382</v>
      </c>
      <c r="AH1018" t="str">
        <f t="shared" si="101"/>
        <v>1</v>
      </c>
      <c r="AI1018" s="4">
        <v>46478</v>
      </c>
      <c r="AJ1018" s="1">
        <v>44957</v>
      </c>
      <c r="AK1018" t="s">
        <v>1779</v>
      </c>
      <c r="AL1018" s="2">
        <v>4916.6000000000004</v>
      </c>
      <c r="AM1018" t="str">
        <f>"9039466772"</f>
        <v>9039466772</v>
      </c>
      <c r="AN1018">
        <v>2023</v>
      </c>
      <c r="AO1018">
        <v>384</v>
      </c>
      <c r="AP1018" s="2">
        <v>4916.6000000000004</v>
      </c>
      <c r="AQ1018">
        <v>0</v>
      </c>
      <c r="AR1018">
        <v>886.6</v>
      </c>
      <c r="AS1018" t="s">
        <v>177</v>
      </c>
      <c r="AT1018">
        <v>4030</v>
      </c>
      <c r="AU1018">
        <v>886.6</v>
      </c>
      <c r="AV1018">
        <v>2023</v>
      </c>
      <c r="AW1018">
        <v>255</v>
      </c>
      <c r="AX1018">
        <v>670</v>
      </c>
      <c r="AY1018">
        <v>0</v>
      </c>
      <c r="AZ1018" t="s">
        <v>1780</v>
      </c>
      <c r="BA1018">
        <v>4916.6000000000004</v>
      </c>
      <c r="BB1018" s="1">
        <v>45015</v>
      </c>
    </row>
    <row r="1019" spans="1:54" x14ac:dyDescent="0.25">
      <c r="A1019">
        <v>2023</v>
      </c>
      <c r="B1019">
        <v>483</v>
      </c>
      <c r="C1019" s="1">
        <v>45016</v>
      </c>
      <c r="D1019">
        <v>2023</v>
      </c>
      <c r="E1019">
        <v>2023</v>
      </c>
      <c r="F1019">
        <v>5</v>
      </c>
      <c r="H1019" t="s">
        <v>508</v>
      </c>
      <c r="I1019">
        <v>151</v>
      </c>
      <c r="J1019">
        <v>0</v>
      </c>
      <c r="K1019" t="s">
        <v>509</v>
      </c>
      <c r="R1019" t="s">
        <v>510</v>
      </c>
      <c r="S1019" t="str">
        <f t="shared" si="102"/>
        <v>31</v>
      </c>
      <c r="T1019" t="s">
        <v>122</v>
      </c>
      <c r="W1019" t="s">
        <v>1781</v>
      </c>
      <c r="Y1019">
        <v>3694</v>
      </c>
      <c r="Z1019" t="s">
        <v>512</v>
      </c>
      <c r="AB1019" t="str">
        <f>"13070370153"</f>
        <v>13070370153</v>
      </c>
      <c r="AC1019" t="s">
        <v>67</v>
      </c>
      <c r="AF1019">
        <v>2023</v>
      </c>
      <c r="AG1019">
        <v>646</v>
      </c>
      <c r="AH1019" t="str">
        <f t="shared" si="101"/>
        <v>1</v>
      </c>
      <c r="AI1019" t="str">
        <f>"82"</f>
        <v>82</v>
      </c>
      <c r="AJ1019" s="1">
        <v>45016</v>
      </c>
      <c r="AK1019" t="s">
        <v>1782</v>
      </c>
      <c r="AL1019" s="2">
        <v>3052.95</v>
      </c>
      <c r="AM1019" t="str">
        <f>"9187934222"</f>
        <v>9187934222</v>
      </c>
      <c r="AN1019">
        <v>2023</v>
      </c>
      <c r="AO1019">
        <v>373</v>
      </c>
      <c r="AP1019" s="2">
        <v>2502.42</v>
      </c>
      <c r="AQ1019">
        <v>0</v>
      </c>
      <c r="AR1019">
        <v>0</v>
      </c>
      <c r="BA1019">
        <v>2502.42</v>
      </c>
      <c r="BB1019" s="1">
        <v>45016</v>
      </c>
    </row>
    <row r="1020" spans="1:54" x14ac:dyDescent="0.25">
      <c r="A1020">
        <v>2023</v>
      </c>
      <c r="B1020">
        <v>484</v>
      </c>
      <c r="C1020" s="1">
        <v>45016</v>
      </c>
      <c r="D1020">
        <v>2023</v>
      </c>
      <c r="E1020">
        <v>2023</v>
      </c>
      <c r="F1020">
        <v>5</v>
      </c>
      <c r="H1020" t="s">
        <v>508</v>
      </c>
      <c r="I1020">
        <v>151</v>
      </c>
      <c r="J1020">
        <v>0</v>
      </c>
      <c r="K1020" t="s">
        <v>509</v>
      </c>
      <c r="R1020" t="s">
        <v>510</v>
      </c>
      <c r="S1020" t="str">
        <f t="shared" si="102"/>
        <v>31</v>
      </c>
      <c r="T1020" t="s">
        <v>122</v>
      </c>
      <c r="W1020" t="s">
        <v>1781</v>
      </c>
      <c r="Y1020">
        <v>3694</v>
      </c>
      <c r="Z1020" t="s">
        <v>512</v>
      </c>
      <c r="AB1020" t="str">
        <f>"13070370153"</f>
        <v>13070370153</v>
      </c>
      <c r="AC1020" t="s">
        <v>60</v>
      </c>
      <c r="AF1020">
        <v>2023</v>
      </c>
      <c r="AG1020">
        <v>646</v>
      </c>
      <c r="AH1020" t="str">
        <f t="shared" si="101"/>
        <v>1</v>
      </c>
      <c r="AI1020" t="str">
        <f>"82"</f>
        <v>82</v>
      </c>
      <c r="AJ1020" s="1">
        <v>45016</v>
      </c>
      <c r="AK1020" t="s">
        <v>1782</v>
      </c>
      <c r="AL1020" s="2">
        <v>3052.95</v>
      </c>
      <c r="AM1020" t="str">
        <f>"9187934222"</f>
        <v>9187934222</v>
      </c>
      <c r="AN1020">
        <v>2023</v>
      </c>
      <c r="AO1020">
        <v>373</v>
      </c>
      <c r="AP1020">
        <v>550.53</v>
      </c>
      <c r="AQ1020">
        <v>0</v>
      </c>
      <c r="AR1020">
        <v>550.53</v>
      </c>
      <c r="AS1020" t="s">
        <v>177</v>
      </c>
      <c r="AT1020">
        <v>2502.42</v>
      </c>
      <c r="AU1020">
        <v>550.53</v>
      </c>
      <c r="AV1020">
        <v>2023</v>
      </c>
      <c r="AW1020">
        <v>256</v>
      </c>
      <c r="AX1020">
        <v>670</v>
      </c>
      <c r="AY1020">
        <v>0</v>
      </c>
      <c r="AZ1020" t="s">
        <v>1783</v>
      </c>
      <c r="BA1020">
        <v>550.53</v>
      </c>
      <c r="BB1020" s="1">
        <v>45016</v>
      </c>
    </row>
    <row r="1021" spans="1:54" x14ac:dyDescent="0.25">
      <c r="A1021">
        <v>2023</v>
      </c>
      <c r="B1021">
        <v>485</v>
      </c>
      <c r="C1021" s="1">
        <v>45016</v>
      </c>
      <c r="D1021">
        <v>2023</v>
      </c>
      <c r="E1021">
        <v>2023</v>
      </c>
      <c r="F1021">
        <v>5</v>
      </c>
      <c r="H1021" t="s">
        <v>508</v>
      </c>
      <c r="I1021">
        <v>151</v>
      </c>
      <c r="J1021">
        <v>0</v>
      </c>
      <c r="K1021" t="s">
        <v>509</v>
      </c>
      <c r="R1021" t="s">
        <v>510</v>
      </c>
      <c r="S1021" t="str">
        <f t="shared" si="102"/>
        <v>31</v>
      </c>
      <c r="T1021" t="s">
        <v>122</v>
      </c>
      <c r="W1021" t="s">
        <v>1784</v>
      </c>
      <c r="Y1021">
        <v>3694</v>
      </c>
      <c r="Z1021" t="s">
        <v>512</v>
      </c>
      <c r="AB1021" t="str">
        <f>"13070370153"</f>
        <v>13070370153</v>
      </c>
      <c r="AC1021" t="s">
        <v>67</v>
      </c>
      <c r="AF1021">
        <v>2023</v>
      </c>
      <c r="AG1021">
        <v>647</v>
      </c>
      <c r="AH1021" t="str">
        <f t="shared" si="101"/>
        <v>1</v>
      </c>
      <c r="AI1021" t="str">
        <f>"82"</f>
        <v>82</v>
      </c>
      <c r="AJ1021" s="1">
        <v>45016</v>
      </c>
      <c r="AK1021" t="s">
        <v>1785</v>
      </c>
      <c r="AL1021">
        <v>811.3</v>
      </c>
      <c r="AM1021" t="str">
        <f>"9188647345"</f>
        <v>9188647345</v>
      </c>
      <c r="AN1021">
        <v>2023</v>
      </c>
      <c r="AO1021">
        <v>373</v>
      </c>
      <c r="AP1021">
        <v>665</v>
      </c>
      <c r="AQ1021">
        <v>0</v>
      </c>
      <c r="AR1021">
        <v>0</v>
      </c>
      <c r="BA1021">
        <v>665</v>
      </c>
      <c r="BB1021" s="1">
        <v>45016</v>
      </c>
    </row>
    <row r="1022" spans="1:54" x14ac:dyDescent="0.25">
      <c r="A1022">
        <v>2023</v>
      </c>
      <c r="B1022">
        <v>486</v>
      </c>
      <c r="C1022" s="1">
        <v>45016</v>
      </c>
      <c r="D1022">
        <v>2023</v>
      </c>
      <c r="E1022">
        <v>2023</v>
      </c>
      <c r="F1022">
        <v>5</v>
      </c>
      <c r="H1022" t="s">
        <v>508</v>
      </c>
      <c r="I1022">
        <v>151</v>
      </c>
      <c r="J1022">
        <v>0</v>
      </c>
      <c r="K1022" t="s">
        <v>509</v>
      </c>
      <c r="R1022" t="s">
        <v>510</v>
      </c>
      <c r="S1022" t="str">
        <f t="shared" si="102"/>
        <v>31</v>
      </c>
      <c r="T1022" t="s">
        <v>122</v>
      </c>
      <c r="W1022" t="s">
        <v>1784</v>
      </c>
      <c r="Y1022">
        <v>3694</v>
      </c>
      <c r="Z1022" t="s">
        <v>512</v>
      </c>
      <c r="AB1022" t="str">
        <f>"13070370153"</f>
        <v>13070370153</v>
      </c>
      <c r="AC1022" t="s">
        <v>60</v>
      </c>
      <c r="AF1022">
        <v>2023</v>
      </c>
      <c r="AG1022">
        <v>647</v>
      </c>
      <c r="AH1022" t="str">
        <f t="shared" si="101"/>
        <v>1</v>
      </c>
      <c r="AI1022" t="str">
        <f>"82"</f>
        <v>82</v>
      </c>
      <c r="AJ1022" s="1">
        <v>45016</v>
      </c>
      <c r="AK1022" t="s">
        <v>1785</v>
      </c>
      <c r="AL1022">
        <v>811.3</v>
      </c>
      <c r="AM1022" t="str">
        <f>"9188647345"</f>
        <v>9188647345</v>
      </c>
      <c r="AN1022">
        <v>2023</v>
      </c>
      <c r="AO1022">
        <v>373</v>
      </c>
      <c r="AP1022">
        <v>146.30000000000001</v>
      </c>
      <c r="AQ1022">
        <v>0</v>
      </c>
      <c r="AR1022">
        <v>146.30000000000001</v>
      </c>
      <c r="AS1022" t="s">
        <v>177</v>
      </c>
      <c r="AT1022">
        <v>665</v>
      </c>
      <c r="AU1022">
        <v>146.30000000000001</v>
      </c>
      <c r="AV1022">
        <v>2023</v>
      </c>
      <c r="AW1022">
        <v>257</v>
      </c>
      <c r="AX1022">
        <v>670</v>
      </c>
      <c r="AY1022">
        <v>0</v>
      </c>
      <c r="AZ1022" t="s">
        <v>1786</v>
      </c>
      <c r="BA1022">
        <v>146.30000000000001</v>
      </c>
      <c r="BB1022" s="1">
        <v>45016</v>
      </c>
    </row>
    <row r="1023" spans="1:54" x14ac:dyDescent="0.25">
      <c r="A1023">
        <v>2023</v>
      </c>
      <c r="B1023">
        <v>487</v>
      </c>
      <c r="C1023" s="1">
        <v>45016</v>
      </c>
      <c r="D1023">
        <v>2023</v>
      </c>
      <c r="E1023">
        <v>2022</v>
      </c>
      <c r="F1023">
        <v>196</v>
      </c>
      <c r="H1023" t="s">
        <v>144</v>
      </c>
      <c r="I1023">
        <v>130</v>
      </c>
      <c r="J1023">
        <v>0</v>
      </c>
      <c r="K1023" t="s">
        <v>128</v>
      </c>
      <c r="S1023" t="str">
        <f t="shared" si="102"/>
        <v>31</v>
      </c>
      <c r="T1023" t="s">
        <v>122</v>
      </c>
      <c r="W1023" t="s">
        <v>1787</v>
      </c>
      <c r="Y1023">
        <v>2828</v>
      </c>
      <c r="Z1023" t="s">
        <v>146</v>
      </c>
      <c r="AB1023" t="str">
        <f t="shared" ref="AB1023:AB1028" si="103">"04268260272"</f>
        <v>04268260272</v>
      </c>
      <c r="AC1023" t="s">
        <v>67</v>
      </c>
      <c r="AF1023">
        <v>2023</v>
      </c>
      <c r="AG1023">
        <v>102</v>
      </c>
      <c r="AH1023" t="str">
        <f t="shared" si="101"/>
        <v>1</v>
      </c>
      <c r="AI1023" t="str">
        <f>"60"</f>
        <v>60</v>
      </c>
      <c r="AJ1023" s="1">
        <v>44988</v>
      </c>
      <c r="AK1023" t="s">
        <v>1788</v>
      </c>
      <c r="AL1023">
        <v>12.2</v>
      </c>
      <c r="AM1023" t="str">
        <f>"8808649646"</f>
        <v>8808649646</v>
      </c>
      <c r="AN1023">
        <v>2023</v>
      </c>
      <c r="AO1023">
        <v>372</v>
      </c>
      <c r="AP1023">
        <v>11.09</v>
      </c>
      <c r="AQ1023">
        <v>0</v>
      </c>
      <c r="AR1023">
        <v>0</v>
      </c>
      <c r="BA1023">
        <v>11.09</v>
      </c>
      <c r="BB1023" s="1">
        <v>45016</v>
      </c>
    </row>
    <row r="1024" spans="1:54" x14ac:dyDescent="0.25">
      <c r="A1024">
        <v>2023</v>
      </c>
      <c r="B1024">
        <v>487</v>
      </c>
      <c r="C1024" s="1">
        <v>45016</v>
      </c>
      <c r="D1024">
        <v>2023</v>
      </c>
      <c r="E1024">
        <v>2022</v>
      </c>
      <c r="F1024">
        <v>196</v>
      </c>
      <c r="H1024" t="s">
        <v>144</v>
      </c>
      <c r="I1024">
        <v>130</v>
      </c>
      <c r="J1024">
        <v>0</v>
      </c>
      <c r="K1024" t="s">
        <v>128</v>
      </c>
      <c r="S1024" t="str">
        <f t="shared" si="102"/>
        <v>31</v>
      </c>
      <c r="T1024" t="s">
        <v>122</v>
      </c>
      <c r="W1024" t="s">
        <v>1787</v>
      </c>
      <c r="Y1024">
        <v>2828</v>
      </c>
      <c r="Z1024" t="s">
        <v>146</v>
      </c>
      <c r="AB1024" t="str">
        <f t="shared" si="103"/>
        <v>04268260272</v>
      </c>
      <c r="AC1024" t="s">
        <v>67</v>
      </c>
      <c r="AF1024">
        <v>2023</v>
      </c>
      <c r="AG1024">
        <v>413</v>
      </c>
      <c r="AH1024" t="str">
        <f t="shared" si="101"/>
        <v>1</v>
      </c>
      <c r="AI1024" t="str">
        <f>"64"</f>
        <v>64</v>
      </c>
      <c r="AJ1024" s="1">
        <v>45001</v>
      </c>
      <c r="AK1024" t="s">
        <v>1789</v>
      </c>
      <c r="AL1024">
        <v>16.809999999999999</v>
      </c>
      <c r="AM1024" t="str">
        <f>"8889753313"</f>
        <v>8889753313</v>
      </c>
      <c r="AN1024">
        <v>2023</v>
      </c>
      <c r="AO1024">
        <v>372</v>
      </c>
      <c r="AP1024">
        <v>15.28</v>
      </c>
      <c r="AQ1024">
        <v>0</v>
      </c>
      <c r="AR1024">
        <v>0</v>
      </c>
      <c r="BA1024">
        <v>15.28</v>
      </c>
      <c r="BB1024" s="1">
        <v>45016</v>
      </c>
    </row>
    <row r="1025" spans="1:54" x14ac:dyDescent="0.25">
      <c r="A1025">
        <v>2023</v>
      </c>
      <c r="B1025">
        <v>487</v>
      </c>
      <c r="C1025" s="1">
        <v>45016</v>
      </c>
      <c r="D1025">
        <v>2023</v>
      </c>
      <c r="E1025">
        <v>2022</v>
      </c>
      <c r="F1025">
        <v>196</v>
      </c>
      <c r="H1025" t="s">
        <v>144</v>
      </c>
      <c r="I1025">
        <v>130</v>
      </c>
      <c r="J1025">
        <v>0</v>
      </c>
      <c r="K1025" t="s">
        <v>128</v>
      </c>
      <c r="S1025" t="str">
        <f t="shared" si="102"/>
        <v>31</v>
      </c>
      <c r="T1025" t="s">
        <v>122</v>
      </c>
      <c r="W1025" t="s">
        <v>1787</v>
      </c>
      <c r="Y1025">
        <v>2828</v>
      </c>
      <c r="Z1025" t="s">
        <v>146</v>
      </c>
      <c r="AB1025" t="str">
        <f t="shared" si="103"/>
        <v>04268260272</v>
      </c>
      <c r="AC1025" t="s">
        <v>67</v>
      </c>
      <c r="AF1025">
        <v>2023</v>
      </c>
      <c r="AG1025">
        <v>414</v>
      </c>
      <c r="AH1025" t="str">
        <f t="shared" si="101"/>
        <v>1</v>
      </c>
      <c r="AI1025" t="str">
        <f>"65"</f>
        <v>65</v>
      </c>
      <c r="AJ1025" s="1">
        <v>45001</v>
      </c>
      <c r="AK1025" t="s">
        <v>1790</v>
      </c>
      <c r="AL1025">
        <v>19.670000000000002</v>
      </c>
      <c r="AM1025" t="str">
        <f>"8889247121"</f>
        <v>8889247121</v>
      </c>
      <c r="AN1025">
        <v>2023</v>
      </c>
      <c r="AO1025">
        <v>372</v>
      </c>
      <c r="AP1025">
        <v>17.88</v>
      </c>
      <c r="AQ1025">
        <v>0</v>
      </c>
      <c r="AR1025">
        <v>0</v>
      </c>
      <c r="BA1025">
        <v>17.88</v>
      </c>
      <c r="BB1025" s="1">
        <v>45016</v>
      </c>
    </row>
    <row r="1026" spans="1:54" x14ac:dyDescent="0.25">
      <c r="A1026">
        <v>2023</v>
      </c>
      <c r="B1026">
        <v>488</v>
      </c>
      <c r="C1026" s="1">
        <v>45016</v>
      </c>
      <c r="D1026">
        <v>2023</v>
      </c>
      <c r="E1026">
        <v>2022</v>
      </c>
      <c r="F1026">
        <v>196</v>
      </c>
      <c r="H1026" t="s">
        <v>144</v>
      </c>
      <c r="I1026">
        <v>130</v>
      </c>
      <c r="J1026">
        <v>0</v>
      </c>
      <c r="K1026" t="s">
        <v>128</v>
      </c>
      <c r="S1026" t="str">
        <f t="shared" si="102"/>
        <v>31</v>
      </c>
      <c r="T1026" t="s">
        <v>122</v>
      </c>
      <c r="W1026" t="s">
        <v>1787</v>
      </c>
      <c r="Y1026">
        <v>2828</v>
      </c>
      <c r="Z1026" t="s">
        <v>146</v>
      </c>
      <c r="AB1026" t="str">
        <f t="shared" si="103"/>
        <v>04268260272</v>
      </c>
      <c r="AC1026" t="s">
        <v>60</v>
      </c>
      <c r="AF1026">
        <v>2023</v>
      </c>
      <c r="AG1026">
        <v>102</v>
      </c>
      <c r="AH1026" t="str">
        <f t="shared" si="101"/>
        <v>1</v>
      </c>
      <c r="AI1026" t="str">
        <f>"60"</f>
        <v>60</v>
      </c>
      <c r="AJ1026" s="1">
        <v>44988</v>
      </c>
      <c r="AK1026" t="s">
        <v>1788</v>
      </c>
      <c r="AL1026">
        <v>12.2</v>
      </c>
      <c r="AM1026" t="str">
        <f>"8808649646"</f>
        <v>8808649646</v>
      </c>
      <c r="AN1026">
        <v>2023</v>
      </c>
      <c r="AO1026">
        <v>372</v>
      </c>
      <c r="AP1026">
        <v>1.1100000000000001</v>
      </c>
      <c r="AQ1026">
        <v>0</v>
      </c>
      <c r="AR1026">
        <v>4.43</v>
      </c>
      <c r="AS1026" t="s">
        <v>194</v>
      </c>
      <c r="AT1026">
        <v>11.09</v>
      </c>
      <c r="AU1026">
        <v>1.1100000000000001</v>
      </c>
      <c r="AV1026">
        <v>2023</v>
      </c>
      <c r="AW1026">
        <v>258</v>
      </c>
      <c r="AX1026">
        <v>670</v>
      </c>
      <c r="AY1026">
        <v>0</v>
      </c>
      <c r="AZ1026" t="s">
        <v>1791</v>
      </c>
      <c r="BA1026">
        <v>1.1100000000000001</v>
      </c>
      <c r="BB1026" s="1">
        <v>45016</v>
      </c>
    </row>
    <row r="1027" spans="1:54" x14ac:dyDescent="0.25">
      <c r="A1027">
        <v>2023</v>
      </c>
      <c r="B1027">
        <v>488</v>
      </c>
      <c r="C1027" s="1">
        <v>45016</v>
      </c>
      <c r="D1027">
        <v>2023</v>
      </c>
      <c r="E1027">
        <v>2022</v>
      </c>
      <c r="F1027">
        <v>196</v>
      </c>
      <c r="H1027" t="s">
        <v>144</v>
      </c>
      <c r="I1027">
        <v>130</v>
      </c>
      <c r="J1027">
        <v>0</v>
      </c>
      <c r="K1027" t="s">
        <v>128</v>
      </c>
      <c r="S1027" t="str">
        <f t="shared" si="102"/>
        <v>31</v>
      </c>
      <c r="T1027" t="s">
        <v>122</v>
      </c>
      <c r="W1027" t="s">
        <v>1787</v>
      </c>
      <c r="Y1027">
        <v>2828</v>
      </c>
      <c r="Z1027" t="s">
        <v>146</v>
      </c>
      <c r="AB1027" t="str">
        <f t="shared" si="103"/>
        <v>04268260272</v>
      </c>
      <c r="AC1027" t="s">
        <v>60</v>
      </c>
      <c r="AF1027">
        <v>2023</v>
      </c>
      <c r="AG1027">
        <v>413</v>
      </c>
      <c r="AH1027" t="str">
        <f t="shared" si="101"/>
        <v>1</v>
      </c>
      <c r="AI1027" t="str">
        <f>"64"</f>
        <v>64</v>
      </c>
      <c r="AJ1027" s="1">
        <v>45001</v>
      </c>
      <c r="AK1027" t="s">
        <v>1789</v>
      </c>
      <c r="AL1027">
        <v>16.809999999999999</v>
      </c>
      <c r="AM1027" t="str">
        <f>"8889753313"</f>
        <v>8889753313</v>
      </c>
      <c r="AN1027">
        <v>2023</v>
      </c>
      <c r="AO1027">
        <v>372</v>
      </c>
      <c r="AP1027">
        <v>1.53</v>
      </c>
      <c r="AQ1027">
        <v>0</v>
      </c>
      <c r="AR1027">
        <v>4.43</v>
      </c>
      <c r="AS1027" t="s">
        <v>194</v>
      </c>
      <c r="AT1027">
        <v>15.28</v>
      </c>
      <c r="AU1027">
        <v>1.53</v>
      </c>
      <c r="AV1027">
        <v>2023</v>
      </c>
      <c r="AW1027">
        <v>258</v>
      </c>
      <c r="AX1027">
        <v>670</v>
      </c>
      <c r="AY1027">
        <v>0</v>
      </c>
      <c r="AZ1027" t="s">
        <v>1791</v>
      </c>
      <c r="BA1027">
        <v>1.53</v>
      </c>
      <c r="BB1027" s="1">
        <v>45016</v>
      </c>
    </row>
    <row r="1028" spans="1:54" x14ac:dyDescent="0.25">
      <c r="A1028">
        <v>2023</v>
      </c>
      <c r="B1028">
        <v>488</v>
      </c>
      <c r="C1028" s="1">
        <v>45016</v>
      </c>
      <c r="D1028">
        <v>2023</v>
      </c>
      <c r="E1028">
        <v>2022</v>
      </c>
      <c r="F1028">
        <v>196</v>
      </c>
      <c r="H1028" t="s">
        <v>144</v>
      </c>
      <c r="I1028">
        <v>130</v>
      </c>
      <c r="J1028">
        <v>0</v>
      </c>
      <c r="K1028" t="s">
        <v>128</v>
      </c>
      <c r="S1028" t="str">
        <f t="shared" si="102"/>
        <v>31</v>
      </c>
      <c r="T1028" t="s">
        <v>122</v>
      </c>
      <c r="W1028" t="s">
        <v>1787</v>
      </c>
      <c r="Y1028">
        <v>2828</v>
      </c>
      <c r="Z1028" t="s">
        <v>146</v>
      </c>
      <c r="AB1028" t="str">
        <f t="shared" si="103"/>
        <v>04268260272</v>
      </c>
      <c r="AC1028" t="s">
        <v>60</v>
      </c>
      <c r="AF1028">
        <v>2023</v>
      </c>
      <c r="AG1028">
        <v>414</v>
      </c>
      <c r="AH1028" t="str">
        <f t="shared" si="101"/>
        <v>1</v>
      </c>
      <c r="AI1028" t="str">
        <f>"65"</f>
        <v>65</v>
      </c>
      <c r="AJ1028" s="1">
        <v>45001</v>
      </c>
      <c r="AK1028" t="s">
        <v>1790</v>
      </c>
      <c r="AL1028">
        <v>19.670000000000002</v>
      </c>
      <c r="AM1028" t="str">
        <f>"8889247121"</f>
        <v>8889247121</v>
      </c>
      <c r="AN1028">
        <v>2023</v>
      </c>
      <c r="AO1028">
        <v>372</v>
      </c>
      <c r="AP1028">
        <v>1.79</v>
      </c>
      <c r="AQ1028">
        <v>0</v>
      </c>
      <c r="AR1028">
        <v>4.43</v>
      </c>
      <c r="AS1028" t="s">
        <v>194</v>
      </c>
      <c r="AT1028">
        <v>17.88</v>
      </c>
      <c r="AU1028">
        <v>1.79</v>
      </c>
      <c r="AV1028">
        <v>2023</v>
      </c>
      <c r="AW1028">
        <v>258</v>
      </c>
      <c r="AX1028">
        <v>670</v>
      </c>
      <c r="AY1028">
        <v>0</v>
      </c>
      <c r="AZ1028" t="s">
        <v>1791</v>
      </c>
      <c r="BA1028">
        <v>1.79</v>
      </c>
      <c r="BB1028" s="1">
        <v>45016</v>
      </c>
    </row>
    <row r="1029" spans="1:54" x14ac:dyDescent="0.25">
      <c r="A1029">
        <v>2023</v>
      </c>
      <c r="B1029">
        <v>489</v>
      </c>
      <c r="C1029" s="1">
        <v>45016</v>
      </c>
      <c r="D1029">
        <v>2023</v>
      </c>
      <c r="E1029">
        <v>2023</v>
      </c>
      <c r="F1029">
        <v>20</v>
      </c>
      <c r="H1029" t="s">
        <v>460</v>
      </c>
      <c r="I1029">
        <v>130</v>
      </c>
      <c r="J1029">
        <v>0</v>
      </c>
      <c r="K1029" t="s">
        <v>128</v>
      </c>
      <c r="S1029" t="str">
        <f t="shared" si="102"/>
        <v>31</v>
      </c>
      <c r="T1029" t="s">
        <v>122</v>
      </c>
      <c r="W1029" t="s">
        <v>1792</v>
      </c>
      <c r="Y1029">
        <v>1645</v>
      </c>
      <c r="Z1029" t="s">
        <v>432</v>
      </c>
      <c r="AB1029" t="str">
        <f t="shared" ref="AB1029:AB1043" si="104">"03341820276"</f>
        <v>03341820276</v>
      </c>
      <c r="AC1029" t="s">
        <v>67</v>
      </c>
      <c r="AF1029">
        <v>2023</v>
      </c>
      <c r="AG1029">
        <v>639</v>
      </c>
      <c r="AH1029" t="str">
        <f t="shared" si="101"/>
        <v>1</v>
      </c>
      <c r="AI1029" t="str">
        <f>"73"</f>
        <v>73</v>
      </c>
      <c r="AJ1029" s="1">
        <v>45006</v>
      </c>
      <c r="AK1029" t="s">
        <v>1793</v>
      </c>
      <c r="AL1029">
        <v>26.97</v>
      </c>
      <c r="AM1029" t="str">
        <f>"9096931703"</f>
        <v>9096931703</v>
      </c>
      <c r="AN1029">
        <v>2023</v>
      </c>
      <c r="AO1029">
        <v>375</v>
      </c>
      <c r="AP1029">
        <v>24.69</v>
      </c>
      <c r="AQ1029">
        <v>0</v>
      </c>
      <c r="AR1029">
        <v>0</v>
      </c>
      <c r="BA1029">
        <v>24.69</v>
      </c>
      <c r="BB1029" s="1">
        <v>45016</v>
      </c>
    </row>
    <row r="1030" spans="1:54" x14ac:dyDescent="0.25">
      <c r="A1030">
        <v>2023</v>
      </c>
      <c r="B1030">
        <v>489</v>
      </c>
      <c r="C1030" s="1">
        <v>45016</v>
      </c>
      <c r="D1030">
        <v>2023</v>
      </c>
      <c r="E1030">
        <v>2023</v>
      </c>
      <c r="F1030">
        <v>20</v>
      </c>
      <c r="H1030" t="s">
        <v>460</v>
      </c>
      <c r="I1030">
        <v>130</v>
      </c>
      <c r="J1030">
        <v>0</v>
      </c>
      <c r="K1030" t="s">
        <v>128</v>
      </c>
      <c r="S1030" t="str">
        <f t="shared" si="102"/>
        <v>31</v>
      </c>
      <c r="T1030" t="s">
        <v>122</v>
      </c>
      <c r="W1030" t="s">
        <v>1792</v>
      </c>
      <c r="Y1030">
        <v>1645</v>
      </c>
      <c r="Z1030" t="s">
        <v>432</v>
      </c>
      <c r="AB1030" t="str">
        <f t="shared" si="104"/>
        <v>03341820276</v>
      </c>
      <c r="AC1030" t="s">
        <v>67</v>
      </c>
      <c r="AF1030">
        <v>2023</v>
      </c>
      <c r="AG1030">
        <v>640</v>
      </c>
      <c r="AH1030" t="str">
        <f t="shared" si="101"/>
        <v>1</v>
      </c>
      <c r="AI1030" t="str">
        <f>"70"</f>
        <v>70</v>
      </c>
      <c r="AJ1030" s="1">
        <v>45006</v>
      </c>
      <c r="AK1030" t="s">
        <v>1794</v>
      </c>
      <c r="AL1030">
        <v>17.75</v>
      </c>
      <c r="AM1030" t="str">
        <f>"9096558871"</f>
        <v>9096558871</v>
      </c>
      <c r="AN1030">
        <v>2023</v>
      </c>
      <c r="AO1030">
        <v>375</v>
      </c>
      <c r="AP1030">
        <v>16.3</v>
      </c>
      <c r="AQ1030">
        <v>0</v>
      </c>
      <c r="AR1030">
        <v>0</v>
      </c>
      <c r="BA1030">
        <v>16.3</v>
      </c>
      <c r="BB1030" s="1">
        <v>45016</v>
      </c>
    </row>
    <row r="1031" spans="1:54" x14ac:dyDescent="0.25">
      <c r="A1031">
        <v>2023</v>
      </c>
      <c r="B1031">
        <v>489</v>
      </c>
      <c r="C1031" s="1">
        <v>45016</v>
      </c>
      <c r="D1031">
        <v>2023</v>
      </c>
      <c r="E1031">
        <v>2023</v>
      </c>
      <c r="F1031">
        <v>20</v>
      </c>
      <c r="H1031" t="s">
        <v>460</v>
      </c>
      <c r="I1031">
        <v>130</v>
      </c>
      <c r="J1031">
        <v>0</v>
      </c>
      <c r="K1031" t="s">
        <v>128</v>
      </c>
      <c r="S1031" t="str">
        <f t="shared" si="102"/>
        <v>31</v>
      </c>
      <c r="T1031" t="s">
        <v>122</v>
      </c>
      <c r="W1031" t="s">
        <v>1792</v>
      </c>
      <c r="Y1031">
        <v>1645</v>
      </c>
      <c r="Z1031" t="s">
        <v>432</v>
      </c>
      <c r="AB1031" t="str">
        <f t="shared" si="104"/>
        <v>03341820276</v>
      </c>
      <c r="AC1031" t="s">
        <v>67</v>
      </c>
      <c r="AF1031">
        <v>2023</v>
      </c>
      <c r="AG1031">
        <v>641</v>
      </c>
      <c r="AH1031" t="str">
        <f t="shared" si="101"/>
        <v>1</v>
      </c>
      <c r="AI1031" t="str">
        <f>"74"</f>
        <v>74</v>
      </c>
      <c r="AJ1031" s="1">
        <v>45006</v>
      </c>
      <c r="AK1031" t="s">
        <v>1795</v>
      </c>
      <c r="AL1031">
        <v>379.39</v>
      </c>
      <c r="AM1031" t="str">
        <f>"9096559468"</f>
        <v>9096559468</v>
      </c>
      <c r="AN1031">
        <v>2023</v>
      </c>
      <c r="AO1031">
        <v>375</v>
      </c>
      <c r="AP1031">
        <v>345.07</v>
      </c>
      <c r="AQ1031">
        <v>0</v>
      </c>
      <c r="AR1031">
        <v>0</v>
      </c>
      <c r="BA1031">
        <v>345.07</v>
      </c>
      <c r="BB1031" s="1">
        <v>45016</v>
      </c>
    </row>
    <row r="1032" spans="1:54" x14ac:dyDescent="0.25">
      <c r="A1032">
        <v>2023</v>
      </c>
      <c r="B1032">
        <v>489</v>
      </c>
      <c r="C1032" s="1">
        <v>45016</v>
      </c>
      <c r="D1032">
        <v>2023</v>
      </c>
      <c r="E1032">
        <v>2023</v>
      </c>
      <c r="F1032">
        <v>20</v>
      </c>
      <c r="H1032" t="s">
        <v>460</v>
      </c>
      <c r="I1032">
        <v>130</v>
      </c>
      <c r="J1032">
        <v>0</v>
      </c>
      <c r="K1032" t="s">
        <v>128</v>
      </c>
      <c r="S1032" t="str">
        <f t="shared" si="102"/>
        <v>31</v>
      </c>
      <c r="T1032" t="s">
        <v>122</v>
      </c>
      <c r="W1032" t="s">
        <v>1792</v>
      </c>
      <c r="Y1032">
        <v>1645</v>
      </c>
      <c r="Z1032" t="s">
        <v>432</v>
      </c>
      <c r="AB1032" t="str">
        <f t="shared" si="104"/>
        <v>03341820276</v>
      </c>
      <c r="AC1032" t="s">
        <v>67</v>
      </c>
      <c r="AF1032">
        <v>2023</v>
      </c>
      <c r="AG1032">
        <v>642</v>
      </c>
      <c r="AH1032" t="str">
        <f t="shared" si="101"/>
        <v>1</v>
      </c>
      <c r="AI1032" t="str">
        <f>"71"</f>
        <v>71</v>
      </c>
      <c r="AJ1032" s="1">
        <v>45006</v>
      </c>
      <c r="AK1032" t="s">
        <v>1796</v>
      </c>
      <c r="AL1032">
        <v>20.76</v>
      </c>
      <c r="AM1032" t="str">
        <f>"9096547198"</f>
        <v>9096547198</v>
      </c>
      <c r="AN1032">
        <v>2023</v>
      </c>
      <c r="AO1032">
        <v>375</v>
      </c>
      <c r="AP1032">
        <v>19.04</v>
      </c>
      <c r="AQ1032">
        <v>0</v>
      </c>
      <c r="AR1032">
        <v>0</v>
      </c>
      <c r="BA1032">
        <v>19.04</v>
      </c>
      <c r="BB1032" s="1">
        <v>45016</v>
      </c>
    </row>
    <row r="1033" spans="1:54" x14ac:dyDescent="0.25">
      <c r="A1033">
        <v>2023</v>
      </c>
      <c r="B1033">
        <v>489</v>
      </c>
      <c r="C1033" s="1">
        <v>45016</v>
      </c>
      <c r="D1033">
        <v>2023</v>
      </c>
      <c r="E1033">
        <v>2023</v>
      </c>
      <c r="F1033">
        <v>20</v>
      </c>
      <c r="H1033" t="s">
        <v>460</v>
      </c>
      <c r="I1033">
        <v>130</v>
      </c>
      <c r="J1033">
        <v>0</v>
      </c>
      <c r="K1033" t="s">
        <v>128</v>
      </c>
      <c r="S1033" t="str">
        <f t="shared" si="102"/>
        <v>31</v>
      </c>
      <c r="T1033" t="s">
        <v>122</v>
      </c>
      <c r="W1033" t="s">
        <v>1792</v>
      </c>
      <c r="Y1033">
        <v>1645</v>
      </c>
      <c r="Z1033" t="s">
        <v>432</v>
      </c>
      <c r="AB1033" t="str">
        <f t="shared" si="104"/>
        <v>03341820276</v>
      </c>
      <c r="AC1033" t="s">
        <v>67</v>
      </c>
      <c r="AF1033">
        <v>2023</v>
      </c>
      <c r="AG1033">
        <v>643</v>
      </c>
      <c r="AH1033" t="str">
        <f t="shared" si="101"/>
        <v>1</v>
      </c>
      <c r="AI1033" t="str">
        <f>"72"</f>
        <v>72</v>
      </c>
      <c r="AJ1033" s="1">
        <v>45006</v>
      </c>
      <c r="AK1033" t="s">
        <v>1797</v>
      </c>
      <c r="AL1033">
        <v>64.53</v>
      </c>
      <c r="AM1033" t="str">
        <f>"9096793932"</f>
        <v>9096793932</v>
      </c>
      <c r="AN1033">
        <v>2023</v>
      </c>
      <c r="AO1033">
        <v>375</v>
      </c>
      <c r="AP1033">
        <v>58.83</v>
      </c>
      <c r="AQ1033">
        <v>0</v>
      </c>
      <c r="AR1033">
        <v>0</v>
      </c>
      <c r="BA1033">
        <v>58.83</v>
      </c>
      <c r="BB1033" s="1">
        <v>45016</v>
      </c>
    </row>
    <row r="1034" spans="1:54" x14ac:dyDescent="0.25">
      <c r="A1034">
        <v>2023</v>
      </c>
      <c r="B1034">
        <v>489</v>
      </c>
      <c r="C1034" s="1">
        <v>45016</v>
      </c>
      <c r="D1034">
        <v>2023</v>
      </c>
      <c r="E1034">
        <v>2023</v>
      </c>
      <c r="F1034">
        <v>20</v>
      </c>
      <c r="H1034" t="s">
        <v>460</v>
      </c>
      <c r="I1034">
        <v>130</v>
      </c>
      <c r="J1034">
        <v>0</v>
      </c>
      <c r="K1034" t="s">
        <v>128</v>
      </c>
      <c r="S1034" t="str">
        <f t="shared" si="102"/>
        <v>31</v>
      </c>
      <c r="T1034" t="s">
        <v>122</v>
      </c>
      <c r="W1034" t="s">
        <v>1792</v>
      </c>
      <c r="Y1034">
        <v>1645</v>
      </c>
      <c r="Z1034" t="s">
        <v>432</v>
      </c>
      <c r="AB1034" t="str">
        <f t="shared" si="104"/>
        <v>03341820276</v>
      </c>
      <c r="AC1034" t="s">
        <v>67</v>
      </c>
      <c r="AF1034">
        <v>2023</v>
      </c>
      <c r="AG1034">
        <v>644</v>
      </c>
      <c r="AH1034" t="str">
        <f t="shared" si="101"/>
        <v>1</v>
      </c>
      <c r="AI1034" t="str">
        <f>"76"</f>
        <v>76</v>
      </c>
      <c r="AJ1034" s="1">
        <v>45006</v>
      </c>
      <c r="AK1034" t="s">
        <v>1798</v>
      </c>
      <c r="AL1034">
        <v>21.08</v>
      </c>
      <c r="AM1034" t="str">
        <f>"9096753864"</f>
        <v>9096753864</v>
      </c>
      <c r="AN1034">
        <v>2023</v>
      </c>
      <c r="AO1034">
        <v>375</v>
      </c>
      <c r="AP1034">
        <v>19.329999999999998</v>
      </c>
      <c r="AQ1034">
        <v>0</v>
      </c>
      <c r="AR1034">
        <v>0</v>
      </c>
      <c r="BA1034">
        <v>19.329999999999998</v>
      </c>
      <c r="BB1034" s="1">
        <v>45016</v>
      </c>
    </row>
    <row r="1035" spans="1:54" x14ac:dyDescent="0.25">
      <c r="A1035">
        <v>2023</v>
      </c>
      <c r="B1035">
        <v>489</v>
      </c>
      <c r="C1035" s="1">
        <v>45016</v>
      </c>
      <c r="D1035">
        <v>2023</v>
      </c>
      <c r="E1035">
        <v>2023</v>
      </c>
      <c r="F1035">
        <v>20</v>
      </c>
      <c r="H1035" t="s">
        <v>460</v>
      </c>
      <c r="I1035">
        <v>130</v>
      </c>
      <c r="J1035">
        <v>0</v>
      </c>
      <c r="K1035" t="s">
        <v>128</v>
      </c>
      <c r="S1035" t="str">
        <f t="shared" si="102"/>
        <v>31</v>
      </c>
      <c r="T1035" t="s">
        <v>122</v>
      </c>
      <c r="W1035" t="s">
        <v>1792</v>
      </c>
      <c r="Y1035">
        <v>1645</v>
      </c>
      <c r="Z1035" t="s">
        <v>432</v>
      </c>
      <c r="AB1035" t="str">
        <f t="shared" si="104"/>
        <v>03341820276</v>
      </c>
      <c r="AC1035" t="s">
        <v>67</v>
      </c>
      <c r="AF1035">
        <v>2023</v>
      </c>
      <c r="AG1035">
        <v>645</v>
      </c>
      <c r="AH1035" t="str">
        <f t="shared" si="101"/>
        <v>1</v>
      </c>
      <c r="AI1035" t="str">
        <f>"75"</f>
        <v>75</v>
      </c>
      <c r="AJ1035" s="1">
        <v>45006</v>
      </c>
      <c r="AK1035" t="s">
        <v>1799</v>
      </c>
      <c r="AL1035">
        <v>20.76</v>
      </c>
      <c r="AM1035" t="str">
        <f>"9096946879"</f>
        <v>9096946879</v>
      </c>
      <c r="AN1035">
        <v>2023</v>
      </c>
      <c r="AO1035">
        <v>375</v>
      </c>
      <c r="AP1035">
        <v>19.04</v>
      </c>
      <c r="AQ1035">
        <v>0</v>
      </c>
      <c r="AR1035">
        <v>0</v>
      </c>
      <c r="BA1035">
        <v>19.04</v>
      </c>
      <c r="BB1035" s="1">
        <v>45016</v>
      </c>
    </row>
    <row r="1036" spans="1:54" x14ac:dyDescent="0.25">
      <c r="A1036">
        <v>2023</v>
      </c>
      <c r="B1036">
        <v>490</v>
      </c>
      <c r="C1036" s="1">
        <v>45016</v>
      </c>
      <c r="D1036">
        <v>2023</v>
      </c>
      <c r="E1036">
        <v>2023</v>
      </c>
      <c r="F1036">
        <v>20</v>
      </c>
      <c r="H1036" t="s">
        <v>460</v>
      </c>
      <c r="I1036">
        <v>130</v>
      </c>
      <c r="J1036">
        <v>0</v>
      </c>
      <c r="K1036" t="s">
        <v>128</v>
      </c>
      <c r="S1036" t="str">
        <f t="shared" si="102"/>
        <v>31</v>
      </c>
      <c r="T1036" t="s">
        <v>122</v>
      </c>
      <c r="W1036" t="s">
        <v>1792</v>
      </c>
      <c r="Y1036">
        <v>1645</v>
      </c>
      <c r="Z1036" t="s">
        <v>432</v>
      </c>
      <c r="AB1036" t="str">
        <f t="shared" si="104"/>
        <v>03341820276</v>
      </c>
      <c r="AC1036" t="s">
        <v>60</v>
      </c>
      <c r="AF1036">
        <v>2023</v>
      </c>
      <c r="AG1036">
        <v>388</v>
      </c>
      <c r="AH1036" t="str">
        <f t="shared" si="101"/>
        <v>1</v>
      </c>
      <c r="AI1036" t="str">
        <f>"330000002907"</f>
        <v>330000002907</v>
      </c>
      <c r="AJ1036" s="1">
        <v>44950</v>
      </c>
      <c r="AK1036" t="s">
        <v>1800</v>
      </c>
      <c r="AL1036">
        <v>-3.22</v>
      </c>
      <c r="AM1036" t="str">
        <f>"8914157408"</f>
        <v>8914157408</v>
      </c>
      <c r="AN1036">
        <v>2023</v>
      </c>
      <c r="AO1036">
        <v>375</v>
      </c>
      <c r="AP1036">
        <v>-3.22</v>
      </c>
      <c r="AQ1036">
        <v>0</v>
      </c>
      <c r="AR1036">
        <v>45.72</v>
      </c>
      <c r="AS1036" t="s">
        <v>194</v>
      </c>
      <c r="AT1036">
        <v>-32.15</v>
      </c>
      <c r="AU1036">
        <v>-3.22</v>
      </c>
      <c r="AV1036">
        <v>2023</v>
      </c>
      <c r="AW1036">
        <v>259</v>
      </c>
      <c r="AX1036">
        <v>670</v>
      </c>
      <c r="AY1036">
        <v>0</v>
      </c>
      <c r="AZ1036" t="s">
        <v>1801</v>
      </c>
      <c r="BA1036">
        <v>-3.22</v>
      </c>
      <c r="BB1036" s="1">
        <v>45016</v>
      </c>
    </row>
    <row r="1037" spans="1:54" x14ac:dyDescent="0.25">
      <c r="A1037">
        <v>2023</v>
      </c>
      <c r="B1037">
        <v>490</v>
      </c>
      <c r="C1037" s="1">
        <v>45016</v>
      </c>
      <c r="D1037">
        <v>2023</v>
      </c>
      <c r="E1037">
        <v>2023</v>
      </c>
      <c r="F1037">
        <v>20</v>
      </c>
      <c r="H1037" t="s">
        <v>460</v>
      </c>
      <c r="I1037">
        <v>130</v>
      </c>
      <c r="J1037">
        <v>0</v>
      </c>
      <c r="K1037" t="s">
        <v>128</v>
      </c>
      <c r="S1037" t="str">
        <f t="shared" si="102"/>
        <v>31</v>
      </c>
      <c r="T1037" t="s">
        <v>122</v>
      </c>
      <c r="W1037" t="s">
        <v>1792</v>
      </c>
      <c r="Y1037">
        <v>1645</v>
      </c>
      <c r="Z1037" t="s">
        <v>432</v>
      </c>
      <c r="AB1037" t="str">
        <f t="shared" si="104"/>
        <v>03341820276</v>
      </c>
      <c r="AC1037" t="s">
        <v>60</v>
      </c>
      <c r="AF1037">
        <v>2023</v>
      </c>
      <c r="AG1037">
        <v>639</v>
      </c>
      <c r="AH1037" t="str">
        <f t="shared" si="101"/>
        <v>1</v>
      </c>
      <c r="AI1037" t="str">
        <f>"73"</f>
        <v>73</v>
      </c>
      <c r="AJ1037" s="1">
        <v>45006</v>
      </c>
      <c r="AK1037" t="s">
        <v>1793</v>
      </c>
      <c r="AL1037">
        <v>26.97</v>
      </c>
      <c r="AM1037" t="str">
        <f>"9096931703"</f>
        <v>9096931703</v>
      </c>
      <c r="AN1037">
        <v>2023</v>
      </c>
      <c r="AO1037">
        <v>375</v>
      </c>
      <c r="AP1037">
        <v>2.2799999999999998</v>
      </c>
      <c r="AQ1037">
        <v>0</v>
      </c>
      <c r="AR1037">
        <v>45.72</v>
      </c>
      <c r="AS1037" t="s">
        <v>194</v>
      </c>
      <c r="AT1037">
        <v>22.83</v>
      </c>
      <c r="AU1037">
        <v>2.2799999999999998</v>
      </c>
      <c r="AV1037">
        <v>2023</v>
      </c>
      <c r="AW1037">
        <v>259</v>
      </c>
      <c r="AX1037">
        <v>670</v>
      </c>
      <c r="AY1037">
        <v>0</v>
      </c>
      <c r="AZ1037" t="s">
        <v>1801</v>
      </c>
      <c r="BA1037">
        <v>2.2799999999999998</v>
      </c>
      <c r="BB1037" s="1">
        <v>45016</v>
      </c>
    </row>
    <row r="1038" spans="1:54" x14ac:dyDescent="0.25">
      <c r="A1038">
        <v>2023</v>
      </c>
      <c r="B1038">
        <v>490</v>
      </c>
      <c r="C1038" s="1">
        <v>45016</v>
      </c>
      <c r="D1038">
        <v>2023</v>
      </c>
      <c r="E1038">
        <v>2023</v>
      </c>
      <c r="F1038">
        <v>20</v>
      </c>
      <c r="H1038" t="s">
        <v>460</v>
      </c>
      <c r="I1038">
        <v>130</v>
      </c>
      <c r="J1038">
        <v>0</v>
      </c>
      <c r="K1038" t="s">
        <v>128</v>
      </c>
      <c r="S1038" t="str">
        <f t="shared" si="102"/>
        <v>31</v>
      </c>
      <c r="T1038" t="s">
        <v>122</v>
      </c>
      <c r="W1038" t="s">
        <v>1792</v>
      </c>
      <c r="Y1038">
        <v>1645</v>
      </c>
      <c r="Z1038" t="s">
        <v>432</v>
      </c>
      <c r="AB1038" t="str">
        <f t="shared" si="104"/>
        <v>03341820276</v>
      </c>
      <c r="AC1038" t="s">
        <v>60</v>
      </c>
      <c r="AF1038">
        <v>2023</v>
      </c>
      <c r="AG1038">
        <v>640</v>
      </c>
      <c r="AH1038" t="str">
        <f t="shared" si="101"/>
        <v>1</v>
      </c>
      <c r="AI1038" t="str">
        <f>"70"</f>
        <v>70</v>
      </c>
      <c r="AJ1038" s="1">
        <v>45006</v>
      </c>
      <c r="AK1038" t="s">
        <v>1794</v>
      </c>
      <c r="AL1038">
        <v>17.75</v>
      </c>
      <c r="AM1038" t="str">
        <f>"9096558871"</f>
        <v>9096558871</v>
      </c>
      <c r="AN1038">
        <v>2023</v>
      </c>
      <c r="AO1038">
        <v>375</v>
      </c>
      <c r="AP1038">
        <v>1.45</v>
      </c>
      <c r="AQ1038">
        <v>0</v>
      </c>
      <c r="AR1038">
        <v>45.72</v>
      </c>
      <c r="AS1038" t="s">
        <v>194</v>
      </c>
      <c r="AT1038">
        <v>14.45</v>
      </c>
      <c r="AU1038">
        <v>1.45</v>
      </c>
      <c r="AV1038">
        <v>2023</v>
      </c>
      <c r="AW1038">
        <v>259</v>
      </c>
      <c r="AX1038">
        <v>670</v>
      </c>
      <c r="AY1038">
        <v>0</v>
      </c>
      <c r="AZ1038" t="s">
        <v>1801</v>
      </c>
      <c r="BA1038">
        <v>1.45</v>
      </c>
      <c r="BB1038" s="1">
        <v>45016</v>
      </c>
    </row>
    <row r="1039" spans="1:54" x14ac:dyDescent="0.25">
      <c r="A1039">
        <v>2023</v>
      </c>
      <c r="B1039">
        <v>490</v>
      </c>
      <c r="C1039" s="1">
        <v>45016</v>
      </c>
      <c r="D1039">
        <v>2023</v>
      </c>
      <c r="E1039">
        <v>2023</v>
      </c>
      <c r="F1039">
        <v>20</v>
      </c>
      <c r="H1039" t="s">
        <v>460</v>
      </c>
      <c r="I1039">
        <v>130</v>
      </c>
      <c r="J1039">
        <v>0</v>
      </c>
      <c r="K1039" t="s">
        <v>128</v>
      </c>
      <c r="S1039" t="str">
        <f t="shared" si="102"/>
        <v>31</v>
      </c>
      <c r="T1039" t="s">
        <v>122</v>
      </c>
      <c r="W1039" t="s">
        <v>1792</v>
      </c>
      <c r="Y1039">
        <v>1645</v>
      </c>
      <c r="Z1039" t="s">
        <v>432</v>
      </c>
      <c r="AB1039" t="str">
        <f t="shared" si="104"/>
        <v>03341820276</v>
      </c>
      <c r="AC1039" t="s">
        <v>60</v>
      </c>
      <c r="AF1039">
        <v>2023</v>
      </c>
      <c r="AG1039">
        <v>641</v>
      </c>
      <c r="AH1039" t="str">
        <f t="shared" si="101"/>
        <v>1</v>
      </c>
      <c r="AI1039" t="str">
        <f>"74"</f>
        <v>74</v>
      </c>
      <c r="AJ1039" s="1">
        <v>45006</v>
      </c>
      <c r="AK1039" t="s">
        <v>1795</v>
      </c>
      <c r="AL1039">
        <v>379.39</v>
      </c>
      <c r="AM1039" t="str">
        <f>"9096559468"</f>
        <v>9096559468</v>
      </c>
      <c r="AN1039">
        <v>2023</v>
      </c>
      <c r="AO1039">
        <v>375</v>
      </c>
      <c r="AP1039">
        <v>34.32</v>
      </c>
      <c r="AQ1039">
        <v>0</v>
      </c>
      <c r="AR1039">
        <v>45.72</v>
      </c>
      <c r="AS1039" t="s">
        <v>194</v>
      </c>
      <c r="AT1039">
        <v>343.23</v>
      </c>
      <c r="AU1039">
        <v>34.32</v>
      </c>
      <c r="AV1039">
        <v>2023</v>
      </c>
      <c r="AW1039">
        <v>259</v>
      </c>
      <c r="AX1039">
        <v>670</v>
      </c>
      <c r="AY1039">
        <v>0</v>
      </c>
      <c r="AZ1039" t="s">
        <v>1801</v>
      </c>
      <c r="BA1039">
        <v>34.32</v>
      </c>
      <c r="BB1039" s="1">
        <v>45016</v>
      </c>
    </row>
    <row r="1040" spans="1:54" x14ac:dyDescent="0.25">
      <c r="A1040">
        <v>2023</v>
      </c>
      <c r="B1040">
        <v>490</v>
      </c>
      <c r="C1040" s="1">
        <v>45016</v>
      </c>
      <c r="D1040">
        <v>2023</v>
      </c>
      <c r="E1040">
        <v>2023</v>
      </c>
      <c r="F1040">
        <v>20</v>
      </c>
      <c r="H1040" t="s">
        <v>460</v>
      </c>
      <c r="I1040">
        <v>130</v>
      </c>
      <c r="J1040">
        <v>0</v>
      </c>
      <c r="K1040" t="s">
        <v>128</v>
      </c>
      <c r="S1040" t="str">
        <f t="shared" si="102"/>
        <v>31</v>
      </c>
      <c r="T1040" t="s">
        <v>122</v>
      </c>
      <c r="W1040" t="s">
        <v>1792</v>
      </c>
      <c r="Y1040">
        <v>1645</v>
      </c>
      <c r="Z1040" t="s">
        <v>432</v>
      </c>
      <c r="AB1040" t="str">
        <f t="shared" si="104"/>
        <v>03341820276</v>
      </c>
      <c r="AC1040" t="s">
        <v>60</v>
      </c>
      <c r="AF1040">
        <v>2023</v>
      </c>
      <c r="AG1040">
        <v>642</v>
      </c>
      <c r="AH1040" t="str">
        <f t="shared" si="101"/>
        <v>1</v>
      </c>
      <c r="AI1040" t="str">
        <f>"71"</f>
        <v>71</v>
      </c>
      <c r="AJ1040" s="1">
        <v>45006</v>
      </c>
      <c r="AK1040" t="s">
        <v>1796</v>
      </c>
      <c r="AL1040">
        <v>20.76</v>
      </c>
      <c r="AM1040" t="str">
        <f>"9096547198"</f>
        <v>9096547198</v>
      </c>
      <c r="AN1040">
        <v>2023</v>
      </c>
      <c r="AO1040">
        <v>375</v>
      </c>
      <c r="AP1040">
        <v>1.72</v>
      </c>
      <c r="AQ1040">
        <v>0</v>
      </c>
      <c r="AR1040">
        <v>45.72</v>
      </c>
      <c r="AS1040" t="s">
        <v>194</v>
      </c>
      <c r="AT1040">
        <v>17.18</v>
      </c>
      <c r="AU1040">
        <v>1.72</v>
      </c>
      <c r="AV1040">
        <v>2023</v>
      </c>
      <c r="AW1040">
        <v>259</v>
      </c>
      <c r="AX1040">
        <v>670</v>
      </c>
      <c r="AY1040">
        <v>0</v>
      </c>
      <c r="AZ1040" t="s">
        <v>1801</v>
      </c>
      <c r="BA1040">
        <v>1.72</v>
      </c>
      <c r="BB1040" s="1">
        <v>45016</v>
      </c>
    </row>
    <row r="1041" spans="1:54" x14ac:dyDescent="0.25">
      <c r="A1041">
        <v>2023</v>
      </c>
      <c r="B1041">
        <v>490</v>
      </c>
      <c r="C1041" s="1">
        <v>45016</v>
      </c>
      <c r="D1041">
        <v>2023</v>
      </c>
      <c r="E1041">
        <v>2023</v>
      </c>
      <c r="F1041">
        <v>20</v>
      </c>
      <c r="H1041" t="s">
        <v>460</v>
      </c>
      <c r="I1041">
        <v>130</v>
      </c>
      <c r="J1041">
        <v>0</v>
      </c>
      <c r="K1041" t="s">
        <v>128</v>
      </c>
      <c r="S1041" t="str">
        <f t="shared" si="102"/>
        <v>31</v>
      </c>
      <c r="T1041" t="s">
        <v>122</v>
      </c>
      <c r="W1041" t="s">
        <v>1792</v>
      </c>
      <c r="Y1041">
        <v>1645</v>
      </c>
      <c r="Z1041" t="s">
        <v>432</v>
      </c>
      <c r="AB1041" t="str">
        <f t="shared" si="104"/>
        <v>03341820276</v>
      </c>
      <c r="AC1041" t="s">
        <v>60</v>
      </c>
      <c r="AF1041">
        <v>2023</v>
      </c>
      <c r="AG1041">
        <v>643</v>
      </c>
      <c r="AH1041" t="str">
        <f t="shared" ref="AH1041:AH1057" si="105">"1"</f>
        <v>1</v>
      </c>
      <c r="AI1041" t="str">
        <f>"72"</f>
        <v>72</v>
      </c>
      <c r="AJ1041" s="1">
        <v>45006</v>
      </c>
      <c r="AK1041" t="s">
        <v>1797</v>
      </c>
      <c r="AL1041">
        <v>64.53</v>
      </c>
      <c r="AM1041" t="str">
        <f>"9096793932"</f>
        <v>9096793932</v>
      </c>
      <c r="AN1041">
        <v>2023</v>
      </c>
      <c r="AO1041">
        <v>375</v>
      </c>
      <c r="AP1041">
        <v>5.7</v>
      </c>
      <c r="AQ1041">
        <v>0</v>
      </c>
      <c r="AR1041">
        <v>45.72</v>
      </c>
      <c r="AS1041" t="s">
        <v>194</v>
      </c>
      <c r="AT1041">
        <v>56.97</v>
      </c>
      <c r="AU1041">
        <v>5.7</v>
      </c>
      <c r="AV1041">
        <v>2023</v>
      </c>
      <c r="AW1041">
        <v>259</v>
      </c>
      <c r="AX1041">
        <v>670</v>
      </c>
      <c r="AY1041">
        <v>0</v>
      </c>
      <c r="AZ1041" t="s">
        <v>1801</v>
      </c>
      <c r="BA1041">
        <v>5.7</v>
      </c>
      <c r="BB1041" s="1">
        <v>45016</v>
      </c>
    </row>
    <row r="1042" spans="1:54" x14ac:dyDescent="0.25">
      <c r="A1042">
        <v>2023</v>
      </c>
      <c r="B1042">
        <v>490</v>
      </c>
      <c r="C1042" s="1">
        <v>45016</v>
      </c>
      <c r="D1042">
        <v>2023</v>
      </c>
      <c r="E1042">
        <v>2023</v>
      </c>
      <c r="F1042">
        <v>20</v>
      </c>
      <c r="H1042" t="s">
        <v>460</v>
      </c>
      <c r="I1042">
        <v>130</v>
      </c>
      <c r="J1042">
        <v>0</v>
      </c>
      <c r="K1042" t="s">
        <v>128</v>
      </c>
      <c r="S1042" t="str">
        <f t="shared" si="102"/>
        <v>31</v>
      </c>
      <c r="T1042" t="s">
        <v>122</v>
      </c>
      <c r="W1042" t="s">
        <v>1792</v>
      </c>
      <c r="Y1042">
        <v>1645</v>
      </c>
      <c r="Z1042" t="s">
        <v>432</v>
      </c>
      <c r="AB1042" t="str">
        <f t="shared" si="104"/>
        <v>03341820276</v>
      </c>
      <c r="AC1042" t="s">
        <v>60</v>
      </c>
      <c r="AF1042">
        <v>2023</v>
      </c>
      <c r="AG1042">
        <v>644</v>
      </c>
      <c r="AH1042" t="str">
        <f t="shared" si="105"/>
        <v>1</v>
      </c>
      <c r="AI1042" t="str">
        <f>"76"</f>
        <v>76</v>
      </c>
      <c r="AJ1042" s="1">
        <v>45006</v>
      </c>
      <c r="AK1042" t="s">
        <v>1798</v>
      </c>
      <c r="AL1042">
        <v>21.08</v>
      </c>
      <c r="AM1042" t="str">
        <f>"9096753864"</f>
        <v>9096753864</v>
      </c>
      <c r="AN1042">
        <v>2023</v>
      </c>
      <c r="AO1042">
        <v>375</v>
      </c>
      <c r="AP1042">
        <v>1.75</v>
      </c>
      <c r="AQ1042">
        <v>0</v>
      </c>
      <c r="AR1042">
        <v>45.72</v>
      </c>
      <c r="AS1042" t="s">
        <v>194</v>
      </c>
      <c r="AT1042">
        <v>17.489999999999998</v>
      </c>
      <c r="AU1042">
        <v>1.75</v>
      </c>
      <c r="AV1042">
        <v>2023</v>
      </c>
      <c r="AW1042">
        <v>259</v>
      </c>
      <c r="AX1042">
        <v>670</v>
      </c>
      <c r="AY1042">
        <v>0</v>
      </c>
      <c r="AZ1042" t="s">
        <v>1801</v>
      </c>
      <c r="BA1042">
        <v>1.75</v>
      </c>
      <c r="BB1042" s="1">
        <v>45016</v>
      </c>
    </row>
    <row r="1043" spans="1:54" x14ac:dyDescent="0.25">
      <c r="A1043">
        <v>2023</v>
      </c>
      <c r="B1043">
        <v>490</v>
      </c>
      <c r="C1043" s="1">
        <v>45016</v>
      </c>
      <c r="D1043">
        <v>2023</v>
      </c>
      <c r="E1043">
        <v>2023</v>
      </c>
      <c r="F1043">
        <v>20</v>
      </c>
      <c r="H1043" t="s">
        <v>460</v>
      </c>
      <c r="I1043">
        <v>130</v>
      </c>
      <c r="J1043">
        <v>0</v>
      </c>
      <c r="K1043" t="s">
        <v>128</v>
      </c>
      <c r="S1043" t="str">
        <f t="shared" si="102"/>
        <v>31</v>
      </c>
      <c r="T1043" t="s">
        <v>122</v>
      </c>
      <c r="W1043" t="s">
        <v>1792</v>
      </c>
      <c r="Y1043">
        <v>1645</v>
      </c>
      <c r="Z1043" t="s">
        <v>432</v>
      </c>
      <c r="AB1043" t="str">
        <f t="shared" si="104"/>
        <v>03341820276</v>
      </c>
      <c r="AC1043" t="s">
        <v>60</v>
      </c>
      <c r="AF1043">
        <v>2023</v>
      </c>
      <c r="AG1043">
        <v>645</v>
      </c>
      <c r="AH1043" t="str">
        <f t="shared" si="105"/>
        <v>1</v>
      </c>
      <c r="AI1043" t="str">
        <f>"75"</f>
        <v>75</v>
      </c>
      <c r="AJ1043" s="1">
        <v>45006</v>
      </c>
      <c r="AK1043" t="s">
        <v>1799</v>
      </c>
      <c r="AL1043">
        <v>20.76</v>
      </c>
      <c r="AM1043" t="str">
        <f>"9096946879"</f>
        <v>9096946879</v>
      </c>
      <c r="AN1043">
        <v>2023</v>
      </c>
      <c r="AO1043">
        <v>375</v>
      </c>
      <c r="AP1043">
        <v>1.72</v>
      </c>
      <c r="AQ1043">
        <v>0</v>
      </c>
      <c r="AR1043">
        <v>45.72</v>
      </c>
      <c r="AS1043" t="s">
        <v>194</v>
      </c>
      <c r="AT1043">
        <v>17.18</v>
      </c>
      <c r="AU1043">
        <v>1.72</v>
      </c>
      <c r="AV1043">
        <v>2023</v>
      </c>
      <c r="AW1043">
        <v>259</v>
      </c>
      <c r="AX1043">
        <v>670</v>
      </c>
      <c r="AY1043">
        <v>0</v>
      </c>
      <c r="AZ1043" t="s">
        <v>1801</v>
      </c>
      <c r="BA1043">
        <v>1.72</v>
      </c>
      <c r="BB1043" s="1">
        <v>45016</v>
      </c>
    </row>
    <row r="1044" spans="1:54" x14ac:dyDescent="0.25">
      <c r="A1044">
        <v>2023</v>
      </c>
      <c r="B1044">
        <v>491</v>
      </c>
      <c r="C1044" s="1">
        <v>45016</v>
      </c>
      <c r="D1044">
        <v>2023</v>
      </c>
      <c r="E1044">
        <v>2023</v>
      </c>
      <c r="F1044">
        <v>70</v>
      </c>
      <c r="H1044" t="s">
        <v>1162</v>
      </c>
      <c r="I1044">
        <v>120</v>
      </c>
      <c r="J1044">
        <v>0</v>
      </c>
      <c r="K1044" t="s">
        <v>120</v>
      </c>
      <c r="R1044" t="s">
        <v>1163</v>
      </c>
      <c r="W1044" t="s">
        <v>1802</v>
      </c>
      <c r="Y1044">
        <v>4608</v>
      </c>
      <c r="Z1044" t="s">
        <v>1165</v>
      </c>
      <c r="AB1044" t="str">
        <f t="shared" ref="AB1044:AB1049" si="106">"11403240960"</f>
        <v>11403240960</v>
      </c>
      <c r="AC1044" t="s">
        <v>67</v>
      </c>
      <c r="AF1044">
        <v>2023</v>
      </c>
      <c r="AG1044">
        <v>318</v>
      </c>
      <c r="AH1044" t="str">
        <f t="shared" si="105"/>
        <v>1</v>
      </c>
      <c r="AI1044" t="str">
        <f>"59"</f>
        <v>59</v>
      </c>
      <c r="AJ1044" s="1">
        <v>44987</v>
      </c>
      <c r="AK1044" t="s">
        <v>1803</v>
      </c>
      <c r="AL1044" s="2">
        <v>7764.21</v>
      </c>
      <c r="AM1044" t="str">
        <f>"8972458060"</f>
        <v>8972458060</v>
      </c>
      <c r="AN1044">
        <v>2023</v>
      </c>
      <c r="AO1044">
        <v>260</v>
      </c>
      <c r="AP1044" s="2">
        <v>6364.11</v>
      </c>
      <c r="AQ1044">
        <v>0</v>
      </c>
      <c r="AR1044">
        <v>0</v>
      </c>
      <c r="BA1044">
        <v>6364.11</v>
      </c>
      <c r="BB1044" s="1">
        <v>45016</v>
      </c>
    </row>
    <row r="1045" spans="1:54" x14ac:dyDescent="0.25">
      <c r="A1045">
        <v>2023</v>
      </c>
      <c r="B1045">
        <v>492</v>
      </c>
      <c r="C1045" s="1">
        <v>45016</v>
      </c>
      <c r="D1045">
        <v>2023</v>
      </c>
      <c r="E1045">
        <v>2023</v>
      </c>
      <c r="F1045">
        <v>70</v>
      </c>
      <c r="H1045" t="s">
        <v>1162</v>
      </c>
      <c r="I1045">
        <v>120</v>
      </c>
      <c r="J1045">
        <v>0</v>
      </c>
      <c r="K1045" t="s">
        <v>120</v>
      </c>
      <c r="R1045" t="s">
        <v>1163</v>
      </c>
      <c r="W1045" t="s">
        <v>1802</v>
      </c>
      <c r="Y1045">
        <v>4608</v>
      </c>
      <c r="Z1045" t="s">
        <v>1165</v>
      </c>
      <c r="AB1045" t="str">
        <f t="shared" si="106"/>
        <v>11403240960</v>
      </c>
      <c r="AC1045" t="s">
        <v>60</v>
      </c>
      <c r="AF1045">
        <v>2023</v>
      </c>
      <c r="AG1045">
        <v>318</v>
      </c>
      <c r="AH1045" t="str">
        <f t="shared" si="105"/>
        <v>1</v>
      </c>
      <c r="AI1045" t="str">
        <f>"59"</f>
        <v>59</v>
      </c>
      <c r="AJ1045" s="1">
        <v>44987</v>
      </c>
      <c r="AK1045" t="s">
        <v>1803</v>
      </c>
      <c r="AL1045" s="2">
        <v>7764.21</v>
      </c>
      <c r="AM1045" t="str">
        <f>"8972458060"</f>
        <v>8972458060</v>
      </c>
      <c r="AN1045">
        <v>2023</v>
      </c>
      <c r="AO1045">
        <v>260</v>
      </c>
      <c r="AP1045" s="2">
        <v>1400.1</v>
      </c>
      <c r="AQ1045">
        <v>0</v>
      </c>
      <c r="AR1045" s="2">
        <v>1400.1</v>
      </c>
      <c r="AS1045" t="s">
        <v>177</v>
      </c>
      <c r="AT1045">
        <v>6364.11</v>
      </c>
      <c r="AU1045">
        <v>1400.1</v>
      </c>
      <c r="AV1045">
        <v>2023</v>
      </c>
      <c r="AW1045">
        <v>260</v>
      </c>
      <c r="AX1045">
        <v>670</v>
      </c>
      <c r="AY1045">
        <v>0</v>
      </c>
      <c r="AZ1045" t="s">
        <v>1804</v>
      </c>
      <c r="BA1045">
        <v>1400.1</v>
      </c>
      <c r="BB1045" s="1">
        <v>45016</v>
      </c>
    </row>
    <row r="1046" spans="1:54" x14ac:dyDescent="0.25">
      <c r="A1046">
        <v>2023</v>
      </c>
      <c r="B1046">
        <v>493</v>
      </c>
      <c r="C1046" s="1">
        <v>45016</v>
      </c>
      <c r="D1046">
        <v>2023</v>
      </c>
      <c r="E1046">
        <v>2023</v>
      </c>
      <c r="F1046">
        <v>70</v>
      </c>
      <c r="H1046" t="s">
        <v>1162</v>
      </c>
      <c r="I1046">
        <v>120</v>
      </c>
      <c r="J1046">
        <v>0</v>
      </c>
      <c r="K1046" t="s">
        <v>120</v>
      </c>
      <c r="R1046" t="s">
        <v>1163</v>
      </c>
      <c r="W1046" t="s">
        <v>1805</v>
      </c>
      <c r="Y1046">
        <v>4608</v>
      </c>
      <c r="Z1046" t="s">
        <v>1165</v>
      </c>
      <c r="AB1046" t="str">
        <f t="shared" si="106"/>
        <v>11403240960</v>
      </c>
      <c r="AC1046" t="s">
        <v>67</v>
      </c>
      <c r="AF1046">
        <v>2023</v>
      </c>
      <c r="AG1046">
        <v>631</v>
      </c>
      <c r="AH1046" t="str">
        <f t="shared" si="105"/>
        <v>1</v>
      </c>
      <c r="AI1046" t="str">
        <f>"69"</f>
        <v>69</v>
      </c>
      <c r="AJ1046" s="1">
        <v>45005</v>
      </c>
      <c r="AK1046" t="s">
        <v>1806</v>
      </c>
      <c r="AL1046" s="2">
        <v>7918.95</v>
      </c>
      <c r="AM1046" t="str">
        <f>"9100140312"</f>
        <v>9100140312</v>
      </c>
      <c r="AN1046">
        <v>2023</v>
      </c>
      <c r="AO1046">
        <v>367</v>
      </c>
      <c r="AP1046" s="2">
        <v>6490.94</v>
      </c>
      <c r="AQ1046">
        <v>0</v>
      </c>
      <c r="AR1046">
        <v>0</v>
      </c>
      <c r="BA1046">
        <v>6490.94</v>
      </c>
      <c r="BB1046" s="1">
        <v>45016</v>
      </c>
    </row>
    <row r="1047" spans="1:54" x14ac:dyDescent="0.25">
      <c r="A1047">
        <v>2023</v>
      </c>
      <c r="B1047">
        <v>493</v>
      </c>
      <c r="C1047" s="1">
        <v>45016</v>
      </c>
      <c r="D1047">
        <v>2023</v>
      </c>
      <c r="E1047">
        <v>2023</v>
      </c>
      <c r="F1047">
        <v>70</v>
      </c>
      <c r="H1047" t="s">
        <v>1162</v>
      </c>
      <c r="I1047">
        <v>120</v>
      </c>
      <c r="J1047">
        <v>0</v>
      </c>
      <c r="K1047" t="s">
        <v>120</v>
      </c>
      <c r="R1047" t="s">
        <v>1163</v>
      </c>
      <c r="W1047" t="s">
        <v>1805</v>
      </c>
      <c r="Y1047">
        <v>4608</v>
      </c>
      <c r="Z1047" t="s">
        <v>1165</v>
      </c>
      <c r="AB1047" t="str">
        <f t="shared" si="106"/>
        <v>11403240960</v>
      </c>
      <c r="AC1047" t="s">
        <v>67</v>
      </c>
      <c r="AF1047">
        <v>2023</v>
      </c>
      <c r="AG1047">
        <v>632</v>
      </c>
      <c r="AH1047" t="str">
        <f t="shared" si="105"/>
        <v>1</v>
      </c>
      <c r="AI1047" t="str">
        <f>"80"</f>
        <v>80</v>
      </c>
      <c r="AJ1047" s="1">
        <v>45015</v>
      </c>
      <c r="AK1047" t="s">
        <v>1807</v>
      </c>
      <c r="AL1047" s="2">
        <v>5431.43</v>
      </c>
      <c r="AM1047" t="str">
        <f>"9163508849"</f>
        <v>9163508849</v>
      </c>
      <c r="AN1047">
        <v>2023</v>
      </c>
      <c r="AO1047">
        <v>367</v>
      </c>
      <c r="AP1047" s="2">
        <v>4451.99</v>
      </c>
      <c r="AQ1047">
        <v>0</v>
      </c>
      <c r="AR1047">
        <v>0</v>
      </c>
      <c r="BA1047">
        <v>4451.99</v>
      </c>
      <c r="BB1047" s="1">
        <v>45016</v>
      </c>
    </row>
    <row r="1048" spans="1:54" x14ac:dyDescent="0.25">
      <c r="A1048">
        <v>2023</v>
      </c>
      <c r="B1048">
        <v>494</v>
      </c>
      <c r="C1048" s="1">
        <v>45016</v>
      </c>
      <c r="D1048">
        <v>2023</v>
      </c>
      <c r="E1048">
        <v>2023</v>
      </c>
      <c r="F1048">
        <v>70</v>
      </c>
      <c r="H1048" t="s">
        <v>1162</v>
      </c>
      <c r="I1048">
        <v>120</v>
      </c>
      <c r="J1048">
        <v>0</v>
      </c>
      <c r="K1048" t="s">
        <v>120</v>
      </c>
      <c r="R1048" t="s">
        <v>1163</v>
      </c>
      <c r="W1048" t="s">
        <v>1805</v>
      </c>
      <c r="Y1048">
        <v>4608</v>
      </c>
      <c r="Z1048" t="s">
        <v>1165</v>
      </c>
      <c r="AB1048" t="str">
        <f t="shared" si="106"/>
        <v>11403240960</v>
      </c>
      <c r="AC1048" t="s">
        <v>60</v>
      </c>
      <c r="AF1048">
        <v>2023</v>
      </c>
      <c r="AG1048">
        <v>631</v>
      </c>
      <c r="AH1048" t="str">
        <f t="shared" si="105"/>
        <v>1</v>
      </c>
      <c r="AI1048" t="str">
        <f>"69"</f>
        <v>69</v>
      </c>
      <c r="AJ1048" s="1">
        <v>45005</v>
      </c>
      <c r="AK1048" t="s">
        <v>1806</v>
      </c>
      <c r="AL1048" s="2">
        <v>7918.95</v>
      </c>
      <c r="AM1048" t="str">
        <f>"9100140312"</f>
        <v>9100140312</v>
      </c>
      <c r="AN1048">
        <v>2023</v>
      </c>
      <c r="AO1048">
        <v>367</v>
      </c>
      <c r="AP1048" s="2">
        <v>1428.01</v>
      </c>
      <c r="AQ1048">
        <v>0</v>
      </c>
      <c r="AR1048" s="2">
        <v>2407.4499999999998</v>
      </c>
      <c r="AS1048" t="s">
        <v>177</v>
      </c>
      <c r="AT1048">
        <v>6490.94</v>
      </c>
      <c r="AU1048">
        <v>1428.01</v>
      </c>
      <c r="AV1048">
        <v>2023</v>
      </c>
      <c r="AW1048">
        <v>261</v>
      </c>
      <c r="AX1048">
        <v>670</v>
      </c>
      <c r="AY1048">
        <v>0</v>
      </c>
      <c r="AZ1048" t="s">
        <v>1808</v>
      </c>
      <c r="BA1048">
        <v>1428.01</v>
      </c>
      <c r="BB1048" s="1">
        <v>45016</v>
      </c>
    </row>
    <row r="1049" spans="1:54" x14ac:dyDescent="0.25">
      <c r="A1049">
        <v>2023</v>
      </c>
      <c r="B1049">
        <v>494</v>
      </c>
      <c r="C1049" s="1">
        <v>45016</v>
      </c>
      <c r="D1049">
        <v>2023</v>
      </c>
      <c r="E1049">
        <v>2023</v>
      </c>
      <c r="F1049">
        <v>70</v>
      </c>
      <c r="H1049" t="s">
        <v>1162</v>
      </c>
      <c r="I1049">
        <v>120</v>
      </c>
      <c r="J1049">
        <v>0</v>
      </c>
      <c r="K1049" t="s">
        <v>120</v>
      </c>
      <c r="R1049" t="s">
        <v>1163</v>
      </c>
      <c r="W1049" t="s">
        <v>1805</v>
      </c>
      <c r="Y1049">
        <v>4608</v>
      </c>
      <c r="Z1049" t="s">
        <v>1165</v>
      </c>
      <c r="AB1049" t="str">
        <f t="shared" si="106"/>
        <v>11403240960</v>
      </c>
      <c r="AC1049" t="s">
        <v>60</v>
      </c>
      <c r="AF1049">
        <v>2023</v>
      </c>
      <c r="AG1049">
        <v>632</v>
      </c>
      <c r="AH1049" t="str">
        <f t="shared" si="105"/>
        <v>1</v>
      </c>
      <c r="AI1049" t="str">
        <f>"80"</f>
        <v>80</v>
      </c>
      <c r="AJ1049" s="1">
        <v>45015</v>
      </c>
      <c r="AK1049" t="s">
        <v>1807</v>
      </c>
      <c r="AL1049" s="2">
        <v>5431.43</v>
      </c>
      <c r="AM1049" t="str">
        <f>"9163508849"</f>
        <v>9163508849</v>
      </c>
      <c r="AN1049">
        <v>2023</v>
      </c>
      <c r="AO1049">
        <v>367</v>
      </c>
      <c r="AP1049">
        <v>979.44</v>
      </c>
      <c r="AQ1049">
        <v>0</v>
      </c>
      <c r="AR1049" s="2">
        <v>2407.4499999999998</v>
      </c>
      <c r="AS1049" t="s">
        <v>177</v>
      </c>
      <c r="AT1049">
        <v>4451.99</v>
      </c>
      <c r="AU1049">
        <v>979.44</v>
      </c>
      <c r="AV1049">
        <v>2023</v>
      </c>
      <c r="AW1049">
        <v>261</v>
      </c>
      <c r="AX1049">
        <v>670</v>
      </c>
      <c r="AY1049">
        <v>0</v>
      </c>
      <c r="AZ1049" t="s">
        <v>1808</v>
      </c>
      <c r="BA1049">
        <v>979.44</v>
      </c>
      <c r="BB1049" s="1">
        <v>45016</v>
      </c>
    </row>
    <row r="1050" spans="1:54" x14ac:dyDescent="0.25">
      <c r="A1050">
        <v>2023</v>
      </c>
      <c r="B1050">
        <v>495</v>
      </c>
      <c r="C1050" s="1">
        <v>45016</v>
      </c>
      <c r="D1050">
        <v>2023</v>
      </c>
      <c r="E1050">
        <v>2023</v>
      </c>
      <c r="F1050">
        <v>9</v>
      </c>
      <c r="H1050" t="s">
        <v>1144</v>
      </c>
      <c r="I1050">
        <v>130</v>
      </c>
      <c r="J1050">
        <v>0</v>
      </c>
      <c r="K1050" t="s">
        <v>128</v>
      </c>
      <c r="S1050" t="str">
        <f>"31"</f>
        <v>31</v>
      </c>
      <c r="T1050" t="s">
        <v>122</v>
      </c>
      <c r="W1050" t="s">
        <v>1809</v>
      </c>
      <c r="Y1050">
        <v>4574</v>
      </c>
      <c r="Z1050" t="s">
        <v>134</v>
      </c>
      <c r="AB1050" t="str">
        <f>"00997630322"</f>
        <v>00997630322</v>
      </c>
      <c r="AC1050" t="s">
        <v>67</v>
      </c>
      <c r="AF1050">
        <v>2023</v>
      </c>
      <c r="AG1050">
        <v>873</v>
      </c>
      <c r="AH1050" t="str">
        <f t="shared" si="105"/>
        <v>1</v>
      </c>
      <c r="AI1050" t="str">
        <f>"79"</f>
        <v>79</v>
      </c>
      <c r="AJ1050" s="1">
        <v>45015</v>
      </c>
      <c r="AK1050" t="s">
        <v>1810</v>
      </c>
      <c r="AL1050" s="2">
        <v>4978.7</v>
      </c>
      <c r="AM1050" t="str">
        <f>"9236115933"</f>
        <v>9236115933</v>
      </c>
      <c r="AN1050">
        <v>2023</v>
      </c>
      <c r="AO1050">
        <v>377</v>
      </c>
      <c r="AP1050" s="2">
        <v>4741.62</v>
      </c>
      <c r="AQ1050">
        <v>0</v>
      </c>
      <c r="AR1050">
        <v>0</v>
      </c>
      <c r="BA1050">
        <v>4741.62</v>
      </c>
      <c r="BB1050" s="1">
        <v>45016</v>
      </c>
    </row>
    <row r="1051" spans="1:54" x14ac:dyDescent="0.25">
      <c r="A1051">
        <v>2023</v>
      </c>
      <c r="B1051">
        <v>496</v>
      </c>
      <c r="C1051" s="1">
        <v>45016</v>
      </c>
      <c r="D1051">
        <v>2023</v>
      </c>
      <c r="E1051">
        <v>2023</v>
      </c>
      <c r="F1051">
        <v>9</v>
      </c>
      <c r="H1051" t="s">
        <v>1144</v>
      </c>
      <c r="I1051">
        <v>130</v>
      </c>
      <c r="J1051">
        <v>0</v>
      </c>
      <c r="K1051" t="s">
        <v>128</v>
      </c>
      <c r="S1051" t="str">
        <f>"31"</f>
        <v>31</v>
      </c>
      <c r="T1051" t="s">
        <v>122</v>
      </c>
      <c r="W1051" t="s">
        <v>1809</v>
      </c>
      <c r="Y1051">
        <v>4574</v>
      </c>
      <c r="Z1051" t="s">
        <v>134</v>
      </c>
      <c r="AB1051" t="str">
        <f>"00997630322"</f>
        <v>00997630322</v>
      </c>
      <c r="AC1051" t="s">
        <v>60</v>
      </c>
      <c r="AF1051">
        <v>2023</v>
      </c>
      <c r="AG1051">
        <v>873</v>
      </c>
      <c r="AH1051" t="str">
        <f t="shared" si="105"/>
        <v>1</v>
      </c>
      <c r="AI1051" t="str">
        <f>"79"</f>
        <v>79</v>
      </c>
      <c r="AJ1051" s="1">
        <v>45015</v>
      </c>
      <c r="AK1051" t="s">
        <v>1810</v>
      </c>
      <c r="AL1051" s="2">
        <v>4978.7</v>
      </c>
      <c r="AM1051" t="str">
        <f>"9236115933"</f>
        <v>9236115933</v>
      </c>
      <c r="AN1051">
        <v>2023</v>
      </c>
      <c r="AO1051">
        <v>377</v>
      </c>
      <c r="AP1051">
        <v>237.08</v>
      </c>
      <c r="AQ1051">
        <v>0</v>
      </c>
      <c r="AR1051">
        <v>237.08</v>
      </c>
      <c r="AS1051" t="s">
        <v>464</v>
      </c>
      <c r="AT1051">
        <v>4741.62</v>
      </c>
      <c r="AU1051">
        <v>237.08</v>
      </c>
      <c r="AV1051">
        <v>2023</v>
      </c>
      <c r="AW1051">
        <v>262</v>
      </c>
      <c r="AX1051">
        <v>670</v>
      </c>
      <c r="AY1051">
        <v>0</v>
      </c>
      <c r="AZ1051" t="s">
        <v>1811</v>
      </c>
      <c r="BA1051">
        <v>237.08</v>
      </c>
      <c r="BB1051" s="1">
        <v>45016</v>
      </c>
    </row>
    <row r="1052" spans="1:54" x14ac:dyDescent="0.25">
      <c r="A1052">
        <v>2023</v>
      </c>
      <c r="B1052">
        <v>497</v>
      </c>
      <c r="C1052" s="1">
        <v>45016</v>
      </c>
      <c r="D1052">
        <v>2023</v>
      </c>
      <c r="E1052">
        <v>2022</v>
      </c>
      <c r="F1052">
        <v>74</v>
      </c>
      <c r="H1052" t="s">
        <v>127</v>
      </c>
      <c r="I1052">
        <v>130</v>
      </c>
      <c r="J1052">
        <v>0</v>
      </c>
      <c r="K1052" t="s">
        <v>128</v>
      </c>
      <c r="W1052" t="s">
        <v>1812</v>
      </c>
      <c r="Y1052">
        <v>4056</v>
      </c>
      <c r="Z1052" t="s">
        <v>130</v>
      </c>
      <c r="AB1052" t="str">
        <f>"03773040138"</f>
        <v>03773040138</v>
      </c>
      <c r="AC1052" t="s">
        <v>67</v>
      </c>
      <c r="AF1052">
        <v>2023</v>
      </c>
      <c r="AG1052">
        <v>387</v>
      </c>
      <c r="AH1052" t="str">
        <f t="shared" si="105"/>
        <v>1</v>
      </c>
      <c r="AI1052" t="str">
        <f>"61"</f>
        <v>61</v>
      </c>
      <c r="AJ1052" s="1">
        <v>44991</v>
      </c>
      <c r="AK1052" t="s">
        <v>1813</v>
      </c>
      <c r="AL1052" s="2">
        <v>3596.93</v>
      </c>
      <c r="AM1052" t="str">
        <f>"9044505422"</f>
        <v>9044505422</v>
      </c>
      <c r="AN1052">
        <v>2023</v>
      </c>
      <c r="AO1052">
        <v>258</v>
      </c>
      <c r="AP1052" s="2">
        <v>3425.65</v>
      </c>
      <c r="AQ1052">
        <v>0</v>
      </c>
      <c r="AR1052">
        <v>0</v>
      </c>
      <c r="BA1052">
        <v>3425.65</v>
      </c>
      <c r="BB1052" s="1">
        <v>45016</v>
      </c>
    </row>
    <row r="1053" spans="1:54" x14ac:dyDescent="0.25">
      <c r="A1053">
        <v>2023</v>
      </c>
      <c r="B1053">
        <v>498</v>
      </c>
      <c r="C1053" s="1">
        <v>45016</v>
      </c>
      <c r="D1053">
        <v>2023</v>
      </c>
      <c r="E1053">
        <v>2022</v>
      </c>
      <c r="F1053">
        <v>74</v>
      </c>
      <c r="H1053" t="s">
        <v>127</v>
      </c>
      <c r="I1053">
        <v>130</v>
      </c>
      <c r="J1053">
        <v>0</v>
      </c>
      <c r="K1053" t="s">
        <v>128</v>
      </c>
      <c r="W1053" t="s">
        <v>1812</v>
      </c>
      <c r="Y1053">
        <v>4056</v>
      </c>
      <c r="Z1053" t="s">
        <v>130</v>
      </c>
      <c r="AB1053" t="str">
        <f>"03773040138"</f>
        <v>03773040138</v>
      </c>
      <c r="AC1053" t="s">
        <v>60</v>
      </c>
      <c r="AF1053">
        <v>2023</v>
      </c>
      <c r="AG1053">
        <v>387</v>
      </c>
      <c r="AH1053" t="str">
        <f t="shared" si="105"/>
        <v>1</v>
      </c>
      <c r="AI1053" t="str">
        <f>"61"</f>
        <v>61</v>
      </c>
      <c r="AJ1053" s="1">
        <v>44991</v>
      </c>
      <c r="AK1053" t="s">
        <v>1813</v>
      </c>
      <c r="AL1053" s="2">
        <v>3596.93</v>
      </c>
      <c r="AM1053" t="str">
        <f>"9044505422"</f>
        <v>9044505422</v>
      </c>
      <c r="AN1053">
        <v>2023</v>
      </c>
      <c r="AO1053">
        <v>258</v>
      </c>
      <c r="AP1053">
        <v>171.28</v>
      </c>
      <c r="AQ1053">
        <v>0</v>
      </c>
      <c r="AR1053">
        <v>171.28</v>
      </c>
      <c r="AS1053" t="s">
        <v>464</v>
      </c>
      <c r="AT1053">
        <v>3425.65</v>
      </c>
      <c r="AU1053">
        <v>171.28</v>
      </c>
      <c r="AV1053">
        <v>2023</v>
      </c>
      <c r="AW1053">
        <v>263</v>
      </c>
      <c r="AX1053">
        <v>670</v>
      </c>
      <c r="AY1053">
        <v>0</v>
      </c>
      <c r="AZ1053" t="s">
        <v>1814</v>
      </c>
      <c r="BA1053">
        <v>171.28</v>
      </c>
      <c r="BB1053" s="1">
        <v>45016</v>
      </c>
    </row>
    <row r="1054" spans="1:54" x14ac:dyDescent="0.25">
      <c r="A1054">
        <v>2023</v>
      </c>
      <c r="B1054">
        <v>499</v>
      </c>
      <c r="C1054" s="1">
        <v>45016</v>
      </c>
      <c r="D1054">
        <v>2023</v>
      </c>
      <c r="E1054">
        <v>2023</v>
      </c>
      <c r="F1054">
        <v>136</v>
      </c>
      <c r="H1054" t="s">
        <v>484</v>
      </c>
      <c r="I1054">
        <v>119</v>
      </c>
      <c r="J1054">
        <v>0</v>
      </c>
      <c r="K1054" t="s">
        <v>137</v>
      </c>
      <c r="S1054" t="str">
        <f>"30"</f>
        <v>30</v>
      </c>
      <c r="T1054" t="s">
        <v>78</v>
      </c>
      <c r="W1054" t="s">
        <v>485</v>
      </c>
      <c r="Y1054">
        <v>2241</v>
      </c>
      <c r="Z1054" t="s">
        <v>139</v>
      </c>
      <c r="AB1054" t="str">
        <f>"07516911000"</f>
        <v>07516911000</v>
      </c>
      <c r="AC1054" t="s">
        <v>67</v>
      </c>
      <c r="AF1054">
        <v>2023</v>
      </c>
      <c r="AG1054">
        <v>878</v>
      </c>
      <c r="AH1054" t="str">
        <f t="shared" si="105"/>
        <v>1</v>
      </c>
      <c r="AI1054" t="str">
        <f>"78"</f>
        <v>78</v>
      </c>
      <c r="AJ1054" s="1">
        <v>45015</v>
      </c>
      <c r="AK1054" t="s">
        <v>486</v>
      </c>
      <c r="AL1054">
        <v>210.11</v>
      </c>
      <c r="AM1054" t="str">
        <f>"9324939764"</f>
        <v>9324939764</v>
      </c>
      <c r="AN1054">
        <v>2023</v>
      </c>
      <c r="AO1054">
        <v>398</v>
      </c>
      <c r="AP1054">
        <v>172.22</v>
      </c>
      <c r="AQ1054">
        <v>0</v>
      </c>
      <c r="AR1054">
        <v>0</v>
      </c>
      <c r="BA1054">
        <v>172.22</v>
      </c>
      <c r="BB1054" s="1">
        <v>45016</v>
      </c>
    </row>
    <row r="1055" spans="1:54" x14ac:dyDescent="0.25">
      <c r="A1055">
        <v>2023</v>
      </c>
      <c r="B1055">
        <v>500</v>
      </c>
      <c r="C1055" s="1">
        <v>45016</v>
      </c>
      <c r="D1055">
        <v>2023</v>
      </c>
      <c r="E1055">
        <v>2023</v>
      </c>
      <c r="F1055">
        <v>136</v>
      </c>
      <c r="H1055" t="s">
        <v>484</v>
      </c>
      <c r="I1055">
        <v>119</v>
      </c>
      <c r="J1055">
        <v>0</v>
      </c>
      <c r="K1055" t="s">
        <v>137</v>
      </c>
      <c r="S1055" t="str">
        <f>"30"</f>
        <v>30</v>
      </c>
      <c r="T1055" t="s">
        <v>78</v>
      </c>
      <c r="W1055" t="s">
        <v>485</v>
      </c>
      <c r="Y1055">
        <v>2241</v>
      </c>
      <c r="Z1055" t="s">
        <v>139</v>
      </c>
      <c r="AB1055" t="str">
        <f>"07516911000"</f>
        <v>07516911000</v>
      </c>
      <c r="AC1055" t="s">
        <v>60</v>
      </c>
      <c r="AF1055">
        <v>2023</v>
      </c>
      <c r="AG1055">
        <v>878</v>
      </c>
      <c r="AH1055" t="str">
        <f t="shared" si="105"/>
        <v>1</v>
      </c>
      <c r="AI1055" t="str">
        <f>"78"</f>
        <v>78</v>
      </c>
      <c r="AJ1055" s="1">
        <v>45015</v>
      </c>
      <c r="AK1055" t="s">
        <v>486</v>
      </c>
      <c r="AL1055">
        <v>210.11</v>
      </c>
      <c r="AM1055" t="str">
        <f>"9324939764"</f>
        <v>9324939764</v>
      </c>
      <c r="AN1055">
        <v>2023</v>
      </c>
      <c r="AO1055">
        <v>398</v>
      </c>
      <c r="AP1055">
        <v>37.89</v>
      </c>
      <c r="AQ1055">
        <v>0</v>
      </c>
      <c r="AR1055">
        <v>37.89</v>
      </c>
      <c r="AS1055" t="s">
        <v>177</v>
      </c>
      <c r="AT1055">
        <v>172.22</v>
      </c>
      <c r="AU1055">
        <v>37.89</v>
      </c>
      <c r="AV1055">
        <v>2023</v>
      </c>
      <c r="AW1055">
        <v>264</v>
      </c>
      <c r="AX1055">
        <v>670</v>
      </c>
      <c r="AY1055">
        <v>0</v>
      </c>
      <c r="AZ1055" t="s">
        <v>487</v>
      </c>
      <c r="BA1055">
        <v>37.89</v>
      </c>
      <c r="BB1055" s="1">
        <v>45016</v>
      </c>
    </row>
    <row r="1056" spans="1:54" x14ac:dyDescent="0.25">
      <c r="A1056">
        <v>2023</v>
      </c>
      <c r="B1056">
        <v>501</v>
      </c>
      <c r="C1056" s="1">
        <v>45016</v>
      </c>
      <c r="D1056">
        <v>2023</v>
      </c>
      <c r="E1056">
        <v>2023</v>
      </c>
      <c r="F1056">
        <v>136</v>
      </c>
      <c r="H1056" t="s">
        <v>484</v>
      </c>
      <c r="I1056">
        <v>119</v>
      </c>
      <c r="J1056">
        <v>0</v>
      </c>
      <c r="K1056" t="s">
        <v>137</v>
      </c>
      <c r="S1056" t="str">
        <f>"30"</f>
        <v>30</v>
      </c>
      <c r="T1056" t="s">
        <v>78</v>
      </c>
      <c r="W1056" t="s">
        <v>1815</v>
      </c>
      <c r="Y1056">
        <v>2167</v>
      </c>
      <c r="Z1056" t="s">
        <v>142</v>
      </c>
      <c r="AB1056" t="str">
        <f>"09771701001"</f>
        <v>09771701001</v>
      </c>
      <c r="AC1056" t="s">
        <v>67</v>
      </c>
      <c r="AF1056">
        <v>2023</v>
      </c>
      <c r="AG1056">
        <v>879</v>
      </c>
      <c r="AH1056" t="str">
        <f t="shared" si="105"/>
        <v>1</v>
      </c>
      <c r="AI1056" t="str">
        <f>"78"</f>
        <v>78</v>
      </c>
      <c r="AJ1056" s="1">
        <v>45015</v>
      </c>
      <c r="AK1056" t="s">
        <v>1816</v>
      </c>
      <c r="AL1056">
        <v>3.66</v>
      </c>
      <c r="AM1056" t="str">
        <f>"9326583918"</f>
        <v>9326583918</v>
      </c>
      <c r="AN1056">
        <v>2023</v>
      </c>
      <c r="AO1056">
        <v>399</v>
      </c>
      <c r="AP1056">
        <v>3</v>
      </c>
      <c r="AQ1056">
        <v>0</v>
      </c>
      <c r="AR1056">
        <v>0</v>
      </c>
      <c r="BA1056">
        <v>3</v>
      </c>
      <c r="BB1056" s="1">
        <v>45016</v>
      </c>
    </row>
    <row r="1057" spans="1:54" x14ac:dyDescent="0.25">
      <c r="A1057">
        <v>2023</v>
      </c>
      <c r="B1057">
        <v>502</v>
      </c>
      <c r="C1057" s="1">
        <v>45016</v>
      </c>
      <c r="D1057">
        <v>2023</v>
      </c>
      <c r="E1057">
        <v>2023</v>
      </c>
      <c r="F1057">
        <v>136</v>
      </c>
      <c r="H1057" t="s">
        <v>484</v>
      </c>
      <c r="I1057">
        <v>119</v>
      </c>
      <c r="J1057">
        <v>0</v>
      </c>
      <c r="K1057" t="s">
        <v>137</v>
      </c>
      <c r="S1057" t="str">
        <f>"30"</f>
        <v>30</v>
      </c>
      <c r="T1057" t="s">
        <v>78</v>
      </c>
      <c r="W1057" t="s">
        <v>1815</v>
      </c>
      <c r="Y1057">
        <v>2167</v>
      </c>
      <c r="Z1057" t="s">
        <v>142</v>
      </c>
      <c r="AB1057" t="str">
        <f>"09771701001"</f>
        <v>09771701001</v>
      </c>
      <c r="AC1057" t="s">
        <v>60</v>
      </c>
      <c r="AF1057">
        <v>2023</v>
      </c>
      <c r="AG1057">
        <v>879</v>
      </c>
      <c r="AH1057" t="str">
        <f t="shared" si="105"/>
        <v>1</v>
      </c>
      <c r="AI1057" t="str">
        <f>"78"</f>
        <v>78</v>
      </c>
      <c r="AJ1057" s="1">
        <v>45015</v>
      </c>
      <c r="AK1057" t="s">
        <v>1816</v>
      </c>
      <c r="AL1057">
        <v>3.66</v>
      </c>
      <c r="AM1057" t="str">
        <f>"9326583918"</f>
        <v>9326583918</v>
      </c>
      <c r="AN1057">
        <v>2023</v>
      </c>
      <c r="AO1057">
        <v>399</v>
      </c>
      <c r="AP1057">
        <v>0.66</v>
      </c>
      <c r="AQ1057">
        <v>0</v>
      </c>
      <c r="AR1057">
        <v>0.66</v>
      </c>
      <c r="AS1057" t="s">
        <v>177</v>
      </c>
      <c r="AT1057">
        <v>3</v>
      </c>
      <c r="AU1057">
        <v>0.66</v>
      </c>
      <c r="AV1057">
        <v>2023</v>
      </c>
      <c r="AW1057">
        <v>265</v>
      </c>
      <c r="AX1057">
        <v>670</v>
      </c>
      <c r="AY1057">
        <v>0</v>
      </c>
      <c r="AZ1057" t="s">
        <v>1817</v>
      </c>
      <c r="BA1057">
        <v>0.66</v>
      </c>
      <c r="BB1057" s="1">
        <v>45016</v>
      </c>
    </row>
    <row r="1058" spans="1:54" x14ac:dyDescent="0.25">
      <c r="A1058">
        <v>2023</v>
      </c>
      <c r="B1058">
        <v>503</v>
      </c>
      <c r="C1058" s="1">
        <v>45016</v>
      </c>
      <c r="D1058">
        <v>2023</v>
      </c>
      <c r="E1058">
        <v>2023</v>
      </c>
      <c r="F1058">
        <v>136</v>
      </c>
      <c r="H1058" t="s">
        <v>484</v>
      </c>
      <c r="I1058">
        <v>119</v>
      </c>
      <c r="J1058">
        <v>0</v>
      </c>
      <c r="K1058" t="s">
        <v>137</v>
      </c>
      <c r="S1058" t="str">
        <f>"30"</f>
        <v>30</v>
      </c>
      <c r="T1058" t="s">
        <v>78</v>
      </c>
      <c r="W1058" t="s">
        <v>1818</v>
      </c>
      <c r="Y1058">
        <v>2167</v>
      </c>
      <c r="Z1058" t="s">
        <v>142</v>
      </c>
      <c r="AB1058" t="str">
        <f>"09771701001"</f>
        <v>09771701001</v>
      </c>
      <c r="AC1058" t="s">
        <v>67</v>
      </c>
      <c r="AF1058">
        <v>2023</v>
      </c>
      <c r="AG1058">
        <v>880</v>
      </c>
      <c r="AH1058" t="s">
        <v>73</v>
      </c>
      <c r="AI1058" t="str">
        <f>"78"</f>
        <v>78</v>
      </c>
      <c r="AJ1058" s="1">
        <v>45015</v>
      </c>
      <c r="AK1058" t="s">
        <v>1818</v>
      </c>
      <c r="AL1058">
        <v>9</v>
      </c>
      <c r="AN1058">
        <v>2023</v>
      </c>
      <c r="AO1058">
        <v>407</v>
      </c>
      <c r="AP1058">
        <v>9</v>
      </c>
      <c r="AQ1058">
        <v>0</v>
      </c>
      <c r="AR1058">
        <v>0</v>
      </c>
      <c r="BA1058">
        <v>9</v>
      </c>
      <c r="BB1058" s="1">
        <v>45016</v>
      </c>
    </row>
    <row r="1059" spans="1:54" x14ac:dyDescent="0.25">
      <c r="A1059">
        <v>2023</v>
      </c>
      <c r="B1059">
        <v>504</v>
      </c>
      <c r="C1059" s="1">
        <v>45016</v>
      </c>
      <c r="D1059">
        <v>2023</v>
      </c>
      <c r="E1059">
        <v>2023</v>
      </c>
      <c r="F1059">
        <v>10</v>
      </c>
      <c r="H1059" t="s">
        <v>1819</v>
      </c>
      <c r="I1059">
        <v>130</v>
      </c>
      <c r="J1059">
        <v>0</v>
      </c>
      <c r="K1059" t="s">
        <v>128</v>
      </c>
      <c r="S1059" t="str">
        <f>"31"</f>
        <v>31</v>
      </c>
      <c r="T1059" t="s">
        <v>122</v>
      </c>
      <c r="W1059" t="s">
        <v>1820</v>
      </c>
      <c r="Y1059">
        <v>4056</v>
      </c>
      <c r="Z1059" t="s">
        <v>130</v>
      </c>
      <c r="AB1059" t="str">
        <f>"03773040138"</f>
        <v>03773040138</v>
      </c>
      <c r="AC1059" t="s">
        <v>67</v>
      </c>
      <c r="AF1059">
        <v>2023</v>
      </c>
      <c r="AG1059">
        <v>860</v>
      </c>
      <c r="AH1059" t="str">
        <f>"1"</f>
        <v>1</v>
      </c>
      <c r="AI1059" t="str">
        <f>"77"</f>
        <v>77</v>
      </c>
      <c r="AJ1059" s="1">
        <v>45015</v>
      </c>
      <c r="AK1059" t="s">
        <v>1821</v>
      </c>
      <c r="AL1059" s="2">
        <v>5473.18</v>
      </c>
      <c r="AM1059" t="str">
        <f>"9232243144"</f>
        <v>9232243144</v>
      </c>
      <c r="AN1059">
        <v>2023</v>
      </c>
      <c r="AO1059">
        <v>379</v>
      </c>
      <c r="AP1059" s="2">
        <v>5212.55</v>
      </c>
      <c r="AQ1059">
        <v>0</v>
      </c>
      <c r="AR1059">
        <v>0</v>
      </c>
      <c r="BA1059">
        <v>5212.55</v>
      </c>
      <c r="BB1059" s="1">
        <v>45016</v>
      </c>
    </row>
    <row r="1060" spans="1:54" x14ac:dyDescent="0.25">
      <c r="A1060">
        <v>2023</v>
      </c>
      <c r="B1060">
        <v>505</v>
      </c>
      <c r="C1060" s="1">
        <v>45016</v>
      </c>
      <c r="D1060">
        <v>2023</v>
      </c>
      <c r="E1060">
        <v>2023</v>
      </c>
      <c r="F1060">
        <v>10</v>
      </c>
      <c r="H1060" t="s">
        <v>1819</v>
      </c>
      <c r="I1060">
        <v>130</v>
      </c>
      <c r="J1060">
        <v>0</v>
      </c>
      <c r="K1060" t="s">
        <v>128</v>
      </c>
      <c r="S1060" t="str">
        <f>"31"</f>
        <v>31</v>
      </c>
      <c r="T1060" t="s">
        <v>122</v>
      </c>
      <c r="W1060" t="s">
        <v>1820</v>
      </c>
      <c r="Y1060">
        <v>4056</v>
      </c>
      <c r="Z1060" t="s">
        <v>130</v>
      </c>
      <c r="AB1060" t="str">
        <f>"03773040138"</f>
        <v>03773040138</v>
      </c>
      <c r="AC1060" t="s">
        <v>60</v>
      </c>
      <c r="AF1060">
        <v>2023</v>
      </c>
      <c r="AG1060">
        <v>860</v>
      </c>
      <c r="AH1060" t="str">
        <f>"1"</f>
        <v>1</v>
      </c>
      <c r="AI1060" t="str">
        <f>"77"</f>
        <v>77</v>
      </c>
      <c r="AJ1060" s="1">
        <v>45015</v>
      </c>
      <c r="AK1060" t="s">
        <v>1821</v>
      </c>
      <c r="AL1060" s="2">
        <v>5473.18</v>
      </c>
      <c r="AM1060" t="str">
        <f>"9232243144"</f>
        <v>9232243144</v>
      </c>
      <c r="AN1060">
        <v>2023</v>
      </c>
      <c r="AO1060">
        <v>379</v>
      </c>
      <c r="AP1060">
        <v>260.63</v>
      </c>
      <c r="AQ1060">
        <v>0</v>
      </c>
      <c r="AR1060">
        <v>260.63</v>
      </c>
      <c r="AS1060" t="s">
        <v>464</v>
      </c>
      <c r="AT1060">
        <v>5212.5600000000004</v>
      </c>
      <c r="AU1060">
        <v>260.63</v>
      </c>
      <c r="AV1060">
        <v>2023</v>
      </c>
      <c r="AW1060">
        <v>266</v>
      </c>
      <c r="AX1060">
        <v>670</v>
      </c>
      <c r="AY1060">
        <v>0</v>
      </c>
      <c r="AZ1060" t="s">
        <v>1822</v>
      </c>
      <c r="BA1060">
        <v>260.63</v>
      </c>
      <c r="BB1060" s="1">
        <v>45016</v>
      </c>
    </row>
  </sheetData>
  <sortState xmlns:xlrd2="http://schemas.microsoft.com/office/spreadsheetml/2017/richdata2" ref="A2:BB1060">
    <sortCondition ref="B2:B10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MAND28062023224229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Bergamo - CBVO</dc:creator>
  <cp:lastModifiedBy>Martina Marian - CBVO</cp:lastModifiedBy>
  <dcterms:created xsi:type="dcterms:W3CDTF">2023-06-28T20:40:28Z</dcterms:created>
  <dcterms:modified xsi:type="dcterms:W3CDTF">2023-07-05T12:47:08Z</dcterms:modified>
</cp:coreProperties>
</file>